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C2P\Box\Utility-Coordination\Utility-WebFiles\Internet-wisconsindot.gov\Resources\handbks-page\"/>
    </mc:Choice>
  </mc:AlternateContent>
  <xr:revisionPtr revIDLastSave="0" documentId="8_{AD4E6175-38B9-47AB-A31B-6824162F501D}" xr6:coauthVersionLast="31" xr6:coauthVersionMax="31" xr10:uidLastSave="{00000000-0000-0000-0000-000000000000}"/>
  <bookViews>
    <workbookView xWindow="0" yWindow="450" windowWidth="19200" windowHeight="8160" xr2:uid="{00000000-000D-0000-FFFF-FFFF00000000}"/>
  </bookViews>
  <sheets>
    <sheet name="report" sheetId="1" r:id="rId1"/>
  </sheets>
  <definedNames>
    <definedName name="_xlnm.Print_Titles" localSheetId="0">report!$1:$1</definedName>
  </definedNames>
  <calcPr calcId="179017"/>
</workbook>
</file>

<file path=xl/calcChain.xml><?xml version="1.0" encoding="utf-8"?>
<calcChain xmlns="http://schemas.openxmlformats.org/spreadsheetml/2006/main">
  <c r="A1" i="1" l="1"/>
  <c r="H1" i="1"/>
  <c r="K1" i="1"/>
  <c r="L1" i="1"/>
  <c r="M1" i="1"/>
  <c r="N1" i="1"/>
  <c r="F14" i="1"/>
  <c r="B14" i="1"/>
  <c r="G14" i="1"/>
  <c r="A14" i="1"/>
  <c r="C14" i="1"/>
  <c r="I14" i="1"/>
  <c r="J14" i="1"/>
  <c r="K14" i="1"/>
  <c r="L14" i="1"/>
  <c r="M14" i="1"/>
  <c r="F49" i="1"/>
  <c r="B49" i="1"/>
  <c r="G49" i="1"/>
  <c r="A49" i="1"/>
  <c r="C49" i="1"/>
  <c r="I49" i="1"/>
  <c r="J49" i="1"/>
  <c r="K49" i="1"/>
  <c r="L49" i="1"/>
  <c r="M49" i="1"/>
  <c r="F66" i="1"/>
  <c r="B66" i="1"/>
  <c r="G66" i="1"/>
  <c r="A66" i="1"/>
  <c r="C66" i="1"/>
  <c r="I66" i="1"/>
  <c r="J66" i="1"/>
  <c r="K66" i="1"/>
  <c r="L66" i="1"/>
  <c r="M66" i="1"/>
  <c r="F104" i="1"/>
  <c r="B104" i="1"/>
  <c r="G104" i="1"/>
  <c r="A104" i="1"/>
  <c r="C104" i="1"/>
  <c r="I104" i="1"/>
  <c r="J104" i="1"/>
  <c r="K104" i="1"/>
  <c r="L104" i="1"/>
  <c r="M104" i="1"/>
  <c r="F15" i="1"/>
  <c r="B15" i="1"/>
  <c r="G15" i="1"/>
  <c r="A15" i="1"/>
  <c r="C15" i="1"/>
  <c r="I15" i="1"/>
  <c r="J15" i="1"/>
  <c r="K15" i="1"/>
  <c r="L15" i="1"/>
  <c r="M15" i="1"/>
  <c r="F50" i="1"/>
  <c r="B50" i="1"/>
  <c r="G50" i="1"/>
  <c r="A50" i="1"/>
  <c r="C50" i="1"/>
  <c r="I50" i="1"/>
  <c r="J50" i="1"/>
  <c r="K50" i="1"/>
  <c r="L50" i="1"/>
  <c r="M50" i="1"/>
  <c r="F67" i="1"/>
  <c r="B67" i="1"/>
  <c r="G67" i="1"/>
  <c r="A67" i="1"/>
  <c r="C67" i="1"/>
  <c r="I67" i="1"/>
  <c r="J67" i="1"/>
  <c r="K67" i="1"/>
  <c r="L67" i="1"/>
  <c r="M67" i="1"/>
  <c r="F105" i="1"/>
  <c r="B105" i="1"/>
  <c r="G105" i="1"/>
  <c r="A105" i="1"/>
  <c r="C105" i="1"/>
  <c r="I105" i="1"/>
  <c r="J105" i="1"/>
  <c r="K105" i="1"/>
  <c r="L105" i="1"/>
  <c r="M105" i="1"/>
  <c r="F74" i="1"/>
  <c r="B74" i="1"/>
  <c r="G74" i="1"/>
  <c r="A74" i="1"/>
  <c r="C74" i="1"/>
  <c r="H74" i="1"/>
  <c r="I74" i="1"/>
  <c r="J74" i="1"/>
  <c r="K74" i="1"/>
  <c r="L74" i="1"/>
  <c r="M74" i="1"/>
  <c r="D74" i="1"/>
  <c r="F83" i="1"/>
  <c r="B83" i="1"/>
  <c r="G83" i="1"/>
  <c r="A83" i="1"/>
  <c r="C83" i="1"/>
  <c r="H83" i="1"/>
  <c r="I83" i="1"/>
  <c r="J83" i="1"/>
  <c r="K83" i="1"/>
  <c r="L83" i="1"/>
  <c r="M83" i="1"/>
  <c r="F13" i="1"/>
  <c r="B13" i="1"/>
  <c r="G13" i="1"/>
  <c r="A13" i="1"/>
  <c r="C13" i="1"/>
  <c r="H13" i="1"/>
  <c r="I13" i="1"/>
  <c r="J13" i="1"/>
  <c r="K13" i="1"/>
  <c r="L13" i="1"/>
  <c r="M13" i="1"/>
  <c r="F60" i="1"/>
  <c r="B60" i="1"/>
  <c r="G60" i="1"/>
  <c r="A60" i="1"/>
  <c r="C60" i="1"/>
  <c r="H60" i="1"/>
  <c r="I60" i="1"/>
  <c r="J60" i="1"/>
  <c r="K60" i="1"/>
  <c r="L60" i="1"/>
  <c r="M60" i="1"/>
  <c r="F55" i="1"/>
  <c r="B55" i="1"/>
  <c r="G55" i="1"/>
  <c r="A55" i="1"/>
  <c r="C55" i="1"/>
  <c r="H55" i="1"/>
  <c r="I55" i="1"/>
  <c r="J55" i="1"/>
  <c r="K55" i="1"/>
  <c r="L55" i="1"/>
  <c r="M55" i="1"/>
  <c r="F62" i="1"/>
  <c r="B62" i="1"/>
  <c r="G62" i="1"/>
  <c r="A62" i="1"/>
  <c r="C62" i="1"/>
  <c r="H62" i="1"/>
  <c r="I62" i="1"/>
  <c r="J62" i="1"/>
  <c r="K62" i="1"/>
  <c r="L62" i="1"/>
  <c r="M62" i="1"/>
  <c r="F113" i="1"/>
  <c r="B113" i="1"/>
  <c r="G113" i="1"/>
  <c r="A113" i="1"/>
  <c r="C113" i="1"/>
  <c r="H113" i="1"/>
  <c r="I113" i="1"/>
  <c r="J113" i="1"/>
  <c r="K113" i="1"/>
  <c r="L113" i="1"/>
  <c r="M113" i="1"/>
  <c r="F91" i="1"/>
  <c r="B91" i="1"/>
  <c r="G91" i="1"/>
  <c r="A91" i="1"/>
  <c r="C91" i="1"/>
  <c r="H91" i="1"/>
  <c r="I91" i="1"/>
  <c r="J91" i="1"/>
  <c r="K91" i="1"/>
  <c r="L91" i="1"/>
  <c r="M91" i="1"/>
  <c r="F92" i="1"/>
  <c r="B92" i="1"/>
  <c r="G92" i="1"/>
  <c r="A92" i="1"/>
  <c r="C92" i="1"/>
  <c r="H92" i="1"/>
  <c r="I92" i="1"/>
  <c r="J92" i="1"/>
  <c r="K92" i="1"/>
  <c r="L92" i="1"/>
  <c r="M92" i="1"/>
  <c r="F40" i="1"/>
  <c r="B40" i="1"/>
  <c r="G40" i="1"/>
  <c r="A40" i="1"/>
  <c r="C40" i="1"/>
  <c r="H40" i="1"/>
  <c r="I40" i="1"/>
  <c r="J40" i="1"/>
  <c r="K40" i="1"/>
  <c r="L40" i="1"/>
  <c r="M40" i="1"/>
  <c r="F103" i="1"/>
  <c r="B103" i="1"/>
  <c r="G103" i="1"/>
  <c r="A103" i="1"/>
  <c r="C103" i="1"/>
  <c r="H103" i="1"/>
  <c r="I103" i="1"/>
  <c r="J103" i="1"/>
  <c r="K103" i="1"/>
  <c r="L103" i="1"/>
  <c r="M103" i="1"/>
  <c r="F75" i="1"/>
  <c r="B75" i="1"/>
  <c r="G75" i="1"/>
  <c r="A75" i="1"/>
  <c r="C75" i="1"/>
  <c r="H75" i="1"/>
  <c r="I75" i="1"/>
  <c r="J75" i="1"/>
  <c r="K75" i="1"/>
  <c r="L75" i="1"/>
  <c r="M75" i="1"/>
  <c r="F21" i="1"/>
  <c r="B21" i="1"/>
  <c r="G21" i="1"/>
  <c r="A21" i="1"/>
  <c r="C21" i="1"/>
  <c r="H21" i="1"/>
  <c r="I21" i="1"/>
  <c r="J21" i="1"/>
  <c r="K21" i="1"/>
  <c r="L21" i="1"/>
  <c r="M21" i="1"/>
  <c r="F102" i="1"/>
  <c r="B102" i="1"/>
  <c r="G102" i="1"/>
  <c r="A102" i="1"/>
  <c r="C102" i="1"/>
  <c r="H102" i="1"/>
  <c r="I102" i="1"/>
  <c r="J102" i="1"/>
  <c r="K102" i="1"/>
  <c r="L102" i="1"/>
  <c r="M102" i="1"/>
  <c r="F93" i="1"/>
  <c r="B93" i="1"/>
  <c r="G93" i="1"/>
  <c r="A93" i="1"/>
  <c r="C93" i="1"/>
  <c r="H93" i="1"/>
  <c r="I93" i="1"/>
  <c r="J93" i="1"/>
  <c r="K93" i="1"/>
  <c r="L93" i="1"/>
  <c r="M93" i="1"/>
  <c r="F118" i="1"/>
  <c r="B118" i="1"/>
  <c r="G118" i="1"/>
  <c r="A118" i="1"/>
  <c r="C118" i="1"/>
  <c r="H118" i="1"/>
  <c r="I118" i="1"/>
  <c r="J118" i="1"/>
  <c r="K118" i="1"/>
  <c r="L118" i="1"/>
  <c r="M118" i="1"/>
  <c r="F108" i="1"/>
  <c r="B108" i="1"/>
  <c r="G108" i="1"/>
  <c r="A108" i="1"/>
  <c r="C108" i="1"/>
  <c r="H108" i="1"/>
  <c r="I108" i="1"/>
  <c r="J108" i="1"/>
  <c r="K108" i="1"/>
  <c r="L108" i="1"/>
  <c r="M108" i="1"/>
  <c r="F47" i="1"/>
  <c r="B47" i="1"/>
  <c r="G47" i="1"/>
  <c r="A47" i="1"/>
  <c r="C47" i="1"/>
  <c r="H47" i="1"/>
  <c r="I47" i="1"/>
  <c r="J47" i="1"/>
  <c r="K47" i="1"/>
  <c r="L47" i="1"/>
  <c r="M47" i="1"/>
  <c r="F44" i="1"/>
  <c r="B44" i="1"/>
  <c r="G44" i="1"/>
  <c r="A44" i="1"/>
  <c r="C44" i="1"/>
  <c r="H44" i="1"/>
  <c r="I44" i="1"/>
  <c r="J44" i="1"/>
  <c r="K44" i="1"/>
  <c r="L44" i="1"/>
  <c r="M44" i="1"/>
  <c r="F45" i="1"/>
  <c r="B45" i="1"/>
  <c r="G45" i="1"/>
  <c r="A45" i="1"/>
  <c r="C45" i="1"/>
  <c r="H45" i="1"/>
  <c r="I45" i="1"/>
  <c r="J45" i="1"/>
  <c r="K45" i="1"/>
  <c r="L45" i="1"/>
  <c r="M45" i="1"/>
  <c r="F32" i="1"/>
  <c r="B32" i="1"/>
  <c r="G32" i="1"/>
  <c r="A32" i="1"/>
  <c r="C32" i="1"/>
  <c r="H32" i="1"/>
  <c r="I32" i="1"/>
  <c r="J32" i="1"/>
  <c r="K32" i="1"/>
  <c r="L32" i="1"/>
  <c r="M32" i="1"/>
  <c r="F22" i="1"/>
  <c r="B22" i="1"/>
  <c r="G22" i="1"/>
  <c r="A22" i="1"/>
  <c r="C22" i="1"/>
  <c r="H22" i="1"/>
  <c r="I22" i="1"/>
  <c r="J22" i="1"/>
  <c r="K22" i="1"/>
  <c r="L22" i="1"/>
  <c r="M22" i="1"/>
  <c r="F65" i="1"/>
  <c r="B65" i="1"/>
  <c r="G65" i="1"/>
  <c r="A65" i="1"/>
  <c r="C65" i="1"/>
  <c r="H65" i="1"/>
  <c r="I65" i="1"/>
  <c r="J65" i="1"/>
  <c r="K65" i="1"/>
  <c r="L65" i="1"/>
  <c r="M65" i="1"/>
  <c r="F96" i="1"/>
  <c r="B96" i="1"/>
  <c r="G96" i="1"/>
  <c r="A96" i="1"/>
  <c r="C96" i="1"/>
  <c r="H96" i="1"/>
  <c r="I96" i="1"/>
  <c r="J96" i="1"/>
  <c r="K96" i="1"/>
  <c r="L96" i="1"/>
  <c r="M96" i="1"/>
  <c r="F11" i="1"/>
  <c r="B11" i="1"/>
  <c r="G11" i="1"/>
  <c r="A11" i="1"/>
  <c r="C11" i="1"/>
  <c r="H11" i="1"/>
  <c r="I11" i="1"/>
  <c r="J11" i="1"/>
  <c r="K11" i="1"/>
  <c r="L11" i="1"/>
  <c r="M11" i="1"/>
  <c r="F52" i="1"/>
  <c r="B52" i="1"/>
  <c r="G52" i="1"/>
  <c r="A52" i="1"/>
  <c r="C52" i="1"/>
  <c r="H52" i="1"/>
  <c r="I52" i="1"/>
  <c r="J52" i="1"/>
  <c r="K52" i="1"/>
  <c r="L52" i="1"/>
  <c r="M52" i="1"/>
  <c r="F16" i="1"/>
  <c r="B16" i="1"/>
  <c r="G16" i="1"/>
  <c r="A16" i="1"/>
  <c r="C16" i="1"/>
  <c r="H16" i="1"/>
  <c r="I16" i="1"/>
  <c r="J16" i="1"/>
  <c r="K16" i="1"/>
  <c r="L16" i="1"/>
  <c r="M16" i="1"/>
  <c r="F17" i="1"/>
  <c r="B17" i="1"/>
  <c r="G17" i="1"/>
  <c r="A17" i="1"/>
  <c r="C17" i="1"/>
  <c r="H17" i="1"/>
  <c r="I17" i="1"/>
  <c r="J17" i="1"/>
  <c r="K17" i="1"/>
  <c r="L17" i="1"/>
  <c r="M17" i="1"/>
  <c r="F54" i="1"/>
  <c r="B54" i="1"/>
  <c r="G54" i="1"/>
  <c r="A54" i="1"/>
  <c r="C54" i="1"/>
  <c r="H54" i="1"/>
  <c r="I54" i="1"/>
  <c r="J54" i="1"/>
  <c r="K54" i="1"/>
  <c r="L54" i="1"/>
  <c r="M54" i="1"/>
  <c r="F63" i="1"/>
  <c r="B63" i="1"/>
  <c r="G63" i="1"/>
  <c r="A63" i="1"/>
  <c r="C63" i="1"/>
  <c r="H63" i="1"/>
  <c r="I63" i="1"/>
  <c r="J63" i="1"/>
  <c r="K63" i="1"/>
  <c r="L63" i="1"/>
  <c r="M63" i="1"/>
  <c r="F48" i="1"/>
  <c r="B48" i="1"/>
  <c r="G48" i="1"/>
  <c r="A48" i="1"/>
  <c r="C48" i="1"/>
  <c r="H48" i="1"/>
  <c r="I48" i="1"/>
  <c r="J48" i="1"/>
  <c r="K48" i="1"/>
  <c r="L48" i="1"/>
  <c r="M48" i="1"/>
  <c r="F122" i="1"/>
  <c r="B122" i="1"/>
  <c r="G122" i="1"/>
  <c r="A122" i="1"/>
  <c r="C122" i="1"/>
  <c r="H122" i="1"/>
  <c r="I122" i="1"/>
  <c r="J122" i="1"/>
  <c r="K122" i="1"/>
  <c r="L122" i="1"/>
  <c r="M122" i="1"/>
  <c r="F56" i="1"/>
  <c r="B56" i="1"/>
  <c r="G56" i="1"/>
  <c r="A56" i="1"/>
  <c r="C56" i="1"/>
  <c r="H56" i="1"/>
  <c r="I56" i="1"/>
  <c r="J56" i="1"/>
  <c r="K56" i="1"/>
  <c r="L56" i="1"/>
  <c r="M56" i="1"/>
  <c r="F2" i="1"/>
  <c r="B2" i="1"/>
  <c r="G2" i="1"/>
  <c r="A2" i="1"/>
  <c r="C2" i="1"/>
  <c r="H2" i="1"/>
  <c r="I2" i="1"/>
  <c r="J2" i="1"/>
  <c r="K2" i="1"/>
  <c r="L2" i="1"/>
  <c r="M2" i="1"/>
  <c r="F23" i="1"/>
  <c r="B23" i="1"/>
  <c r="G23" i="1"/>
  <c r="A23" i="1"/>
  <c r="C23" i="1"/>
  <c r="H23" i="1"/>
  <c r="I23" i="1"/>
  <c r="J23" i="1"/>
  <c r="K23" i="1"/>
  <c r="L23" i="1"/>
  <c r="M23" i="1"/>
  <c r="F87" i="1"/>
  <c r="B87" i="1"/>
  <c r="G87" i="1"/>
  <c r="A87" i="1"/>
  <c r="C87" i="1"/>
  <c r="H87" i="1"/>
  <c r="I87" i="1"/>
  <c r="J87" i="1"/>
  <c r="K87" i="1"/>
  <c r="L87" i="1"/>
  <c r="M87" i="1"/>
  <c r="F51" i="1"/>
  <c r="B51" i="1"/>
  <c r="G51" i="1"/>
  <c r="A51" i="1"/>
  <c r="C51" i="1"/>
  <c r="H51" i="1"/>
  <c r="I51" i="1"/>
  <c r="J51" i="1"/>
  <c r="K51" i="1"/>
  <c r="L51" i="1"/>
  <c r="M51" i="1"/>
  <c r="F76" i="1"/>
  <c r="B76" i="1"/>
  <c r="G76" i="1"/>
  <c r="A76" i="1"/>
  <c r="C76" i="1"/>
  <c r="H76" i="1"/>
  <c r="I76" i="1"/>
  <c r="J76" i="1"/>
  <c r="K76" i="1"/>
  <c r="L76" i="1"/>
  <c r="M76" i="1"/>
  <c r="F7" i="1"/>
  <c r="B7" i="1"/>
  <c r="G7" i="1"/>
  <c r="A7" i="1"/>
  <c r="C7" i="1"/>
  <c r="H7" i="1"/>
  <c r="I7" i="1"/>
  <c r="J7" i="1"/>
  <c r="K7" i="1"/>
  <c r="L7" i="1"/>
  <c r="M7" i="1"/>
  <c r="F8" i="1"/>
  <c r="B8" i="1"/>
  <c r="G8" i="1"/>
  <c r="A8" i="1"/>
  <c r="C8" i="1"/>
  <c r="H8" i="1"/>
  <c r="I8" i="1"/>
  <c r="J8" i="1"/>
  <c r="K8" i="1"/>
  <c r="L8" i="1"/>
  <c r="M8" i="1"/>
  <c r="F9" i="1"/>
  <c r="B9" i="1"/>
  <c r="G9" i="1"/>
  <c r="A9" i="1"/>
  <c r="C9" i="1"/>
  <c r="H9" i="1"/>
  <c r="I9" i="1"/>
  <c r="J9" i="1"/>
  <c r="K9" i="1"/>
  <c r="L9" i="1"/>
  <c r="M9" i="1"/>
  <c r="F84" i="1"/>
  <c r="B84" i="1"/>
  <c r="G84" i="1"/>
  <c r="A84" i="1"/>
  <c r="C84" i="1"/>
  <c r="H84" i="1"/>
  <c r="I84" i="1"/>
  <c r="J84" i="1"/>
  <c r="K84" i="1"/>
  <c r="L84" i="1"/>
  <c r="M84" i="1"/>
  <c r="F53" i="1"/>
  <c r="B53" i="1"/>
  <c r="G53" i="1"/>
  <c r="A53" i="1"/>
  <c r="C53" i="1"/>
  <c r="H53" i="1"/>
  <c r="I53" i="1"/>
  <c r="J53" i="1"/>
  <c r="K53" i="1"/>
  <c r="L53" i="1"/>
  <c r="M53" i="1"/>
  <c r="F33" i="1"/>
  <c r="B33" i="1"/>
  <c r="G33" i="1"/>
  <c r="A33" i="1"/>
  <c r="C33" i="1"/>
  <c r="H33" i="1"/>
  <c r="I33" i="1"/>
  <c r="J33" i="1"/>
  <c r="K33" i="1"/>
  <c r="L33" i="1"/>
  <c r="M33" i="1"/>
  <c r="F24" i="1"/>
  <c r="B24" i="1"/>
  <c r="G24" i="1"/>
  <c r="A24" i="1"/>
  <c r="C24" i="1"/>
  <c r="H24" i="1"/>
  <c r="I24" i="1"/>
  <c r="J24" i="1"/>
  <c r="K24" i="1"/>
  <c r="L24" i="1"/>
  <c r="M24" i="1"/>
  <c r="F106" i="1"/>
  <c r="B106" i="1"/>
  <c r="G106" i="1"/>
  <c r="A106" i="1"/>
  <c r="C106" i="1"/>
  <c r="H106" i="1"/>
  <c r="I106" i="1"/>
  <c r="J106" i="1"/>
  <c r="K106" i="1"/>
  <c r="L106" i="1"/>
  <c r="M106" i="1"/>
  <c r="F12" i="1"/>
  <c r="B12" i="1"/>
  <c r="G12" i="1"/>
  <c r="A12" i="1"/>
  <c r="C12" i="1"/>
  <c r="H12" i="1"/>
  <c r="I12" i="1"/>
  <c r="J12" i="1"/>
  <c r="K12" i="1"/>
  <c r="L12" i="1"/>
  <c r="M12" i="1"/>
  <c r="F70" i="1"/>
  <c r="B70" i="1"/>
  <c r="G70" i="1"/>
  <c r="A70" i="1"/>
  <c r="C70" i="1"/>
  <c r="H70" i="1"/>
  <c r="I70" i="1"/>
  <c r="J70" i="1"/>
  <c r="K70" i="1"/>
  <c r="L70" i="1"/>
  <c r="M70" i="1"/>
  <c r="F71" i="1"/>
  <c r="B71" i="1"/>
  <c r="G71" i="1"/>
  <c r="A71" i="1"/>
  <c r="C71" i="1"/>
  <c r="H71" i="1"/>
  <c r="I71" i="1"/>
  <c r="J71" i="1"/>
  <c r="K71" i="1"/>
  <c r="L71" i="1"/>
  <c r="M71" i="1"/>
  <c r="F77" i="1"/>
  <c r="B77" i="1"/>
  <c r="G77" i="1"/>
  <c r="A77" i="1"/>
  <c r="C77" i="1"/>
  <c r="H77" i="1"/>
  <c r="I77" i="1"/>
  <c r="J77" i="1"/>
  <c r="K77" i="1"/>
  <c r="L77" i="1"/>
  <c r="M77" i="1"/>
  <c r="F98" i="1"/>
  <c r="B98" i="1"/>
  <c r="G98" i="1"/>
  <c r="A98" i="1"/>
  <c r="C98" i="1"/>
  <c r="H98" i="1"/>
  <c r="I98" i="1"/>
  <c r="J98" i="1"/>
  <c r="K98" i="1"/>
  <c r="L98" i="1"/>
  <c r="M98" i="1"/>
  <c r="F64" i="1"/>
  <c r="B64" i="1"/>
  <c r="G64" i="1"/>
  <c r="A64" i="1"/>
  <c r="C64" i="1"/>
  <c r="H64" i="1"/>
  <c r="I64" i="1"/>
  <c r="J64" i="1"/>
  <c r="K64" i="1"/>
  <c r="L64" i="1"/>
  <c r="M64" i="1"/>
  <c r="F114" i="1"/>
  <c r="B114" i="1"/>
  <c r="G114" i="1"/>
  <c r="A114" i="1"/>
  <c r="C114" i="1"/>
  <c r="H114" i="1"/>
  <c r="I114" i="1"/>
  <c r="J114" i="1"/>
  <c r="K114" i="1"/>
  <c r="L114" i="1"/>
  <c r="M114" i="1"/>
  <c r="F85" i="1"/>
  <c r="B85" i="1"/>
  <c r="G85" i="1"/>
  <c r="A85" i="1"/>
  <c r="C85" i="1"/>
  <c r="H85" i="1"/>
  <c r="I85" i="1"/>
  <c r="J85" i="1"/>
  <c r="K85" i="1"/>
  <c r="L85" i="1"/>
  <c r="M85" i="1"/>
  <c r="F117" i="1"/>
  <c r="B117" i="1"/>
  <c r="G117" i="1"/>
  <c r="A117" i="1"/>
  <c r="C117" i="1"/>
  <c r="H117" i="1"/>
  <c r="I117" i="1"/>
  <c r="J117" i="1"/>
  <c r="K117" i="1"/>
  <c r="L117" i="1"/>
  <c r="M117" i="1"/>
  <c r="F19" i="1"/>
  <c r="B19" i="1"/>
  <c r="G19" i="1"/>
  <c r="A19" i="1"/>
  <c r="C19" i="1"/>
  <c r="H19" i="1"/>
  <c r="I19" i="1"/>
  <c r="J19" i="1"/>
  <c r="K19" i="1"/>
  <c r="L19" i="1"/>
  <c r="M19" i="1"/>
  <c r="F42" i="1"/>
  <c r="B42" i="1"/>
  <c r="G42" i="1"/>
  <c r="A42" i="1"/>
  <c r="C42" i="1"/>
  <c r="H42" i="1"/>
  <c r="I42" i="1"/>
  <c r="J42" i="1"/>
  <c r="K42" i="1"/>
  <c r="L42" i="1"/>
  <c r="M42" i="1"/>
  <c r="F43" i="1"/>
  <c r="B43" i="1"/>
  <c r="G43" i="1"/>
  <c r="A43" i="1"/>
  <c r="C43" i="1"/>
  <c r="H43" i="1"/>
  <c r="I43" i="1"/>
  <c r="J43" i="1"/>
  <c r="K43" i="1"/>
  <c r="L43" i="1"/>
  <c r="M43" i="1"/>
  <c r="F41" i="1"/>
  <c r="B41" i="1"/>
  <c r="G41" i="1"/>
  <c r="A41" i="1"/>
  <c r="C41" i="1"/>
  <c r="H41" i="1"/>
  <c r="I41" i="1"/>
  <c r="J41" i="1"/>
  <c r="K41" i="1"/>
  <c r="L41" i="1"/>
  <c r="M41" i="1"/>
  <c r="F124" i="1"/>
  <c r="B124" i="1"/>
  <c r="G124" i="1"/>
  <c r="A124" i="1"/>
  <c r="C124" i="1"/>
  <c r="H124" i="1"/>
  <c r="I124" i="1"/>
  <c r="J124" i="1"/>
  <c r="K124" i="1"/>
  <c r="L124" i="1"/>
  <c r="M124" i="1"/>
  <c r="F123" i="1"/>
  <c r="B123" i="1"/>
  <c r="G123" i="1"/>
  <c r="A123" i="1"/>
  <c r="C123" i="1"/>
  <c r="H123" i="1"/>
  <c r="I123" i="1"/>
  <c r="J123" i="1"/>
  <c r="K123" i="1"/>
  <c r="L123" i="1"/>
  <c r="M123" i="1"/>
  <c r="F61" i="1"/>
  <c r="B61" i="1"/>
  <c r="G61" i="1"/>
  <c r="A61" i="1"/>
  <c r="C61" i="1"/>
  <c r="H61" i="1"/>
  <c r="I61" i="1"/>
  <c r="J61" i="1"/>
  <c r="K61" i="1"/>
  <c r="L61" i="1"/>
  <c r="M61" i="1"/>
  <c r="F107" i="1"/>
  <c r="B107" i="1"/>
  <c r="G107" i="1"/>
  <c r="A107" i="1"/>
  <c r="C107" i="1"/>
  <c r="H107" i="1"/>
  <c r="I107" i="1"/>
  <c r="J107" i="1"/>
  <c r="K107" i="1"/>
  <c r="L107" i="1"/>
  <c r="M107" i="1"/>
  <c r="F78" i="1"/>
  <c r="B78" i="1"/>
  <c r="G78" i="1"/>
  <c r="A78" i="1"/>
  <c r="C78" i="1"/>
  <c r="H78" i="1"/>
  <c r="I78" i="1"/>
  <c r="J78" i="1"/>
  <c r="K78" i="1"/>
  <c r="L78" i="1"/>
  <c r="M78" i="1"/>
  <c r="F36" i="1"/>
  <c r="B36" i="1"/>
  <c r="G36" i="1"/>
  <c r="A36" i="1"/>
  <c r="C36" i="1"/>
  <c r="H36" i="1"/>
  <c r="I36" i="1"/>
  <c r="J36" i="1"/>
  <c r="K36" i="1"/>
  <c r="L36" i="1"/>
  <c r="M36" i="1"/>
  <c r="F109" i="1"/>
  <c r="B109" i="1"/>
  <c r="G109" i="1"/>
  <c r="A109" i="1"/>
  <c r="C109" i="1"/>
  <c r="H109" i="1"/>
  <c r="I109" i="1"/>
  <c r="J109" i="1"/>
  <c r="K109" i="1"/>
  <c r="L109" i="1"/>
  <c r="M109" i="1"/>
  <c r="F101" i="1"/>
  <c r="B101" i="1"/>
  <c r="G101" i="1"/>
  <c r="A101" i="1"/>
  <c r="C101" i="1"/>
  <c r="H101" i="1"/>
  <c r="I101" i="1"/>
  <c r="J101" i="1"/>
  <c r="K101" i="1"/>
  <c r="L101" i="1"/>
  <c r="M101" i="1"/>
  <c r="F97" i="1"/>
  <c r="B97" i="1"/>
  <c r="G97" i="1"/>
  <c r="A97" i="1"/>
  <c r="C97" i="1"/>
  <c r="H97" i="1"/>
  <c r="I97" i="1"/>
  <c r="J97" i="1"/>
  <c r="K97" i="1"/>
  <c r="L97" i="1"/>
  <c r="M97" i="1"/>
  <c r="F20" i="1"/>
  <c r="B20" i="1"/>
  <c r="G20" i="1"/>
  <c r="A20" i="1"/>
  <c r="C20" i="1"/>
  <c r="H20" i="1"/>
  <c r="I20" i="1"/>
  <c r="J20" i="1"/>
  <c r="K20" i="1"/>
  <c r="L20" i="1"/>
  <c r="M20" i="1"/>
  <c r="F46" i="1"/>
  <c r="B46" i="1"/>
  <c r="G46" i="1"/>
  <c r="A46" i="1"/>
  <c r="C46" i="1"/>
  <c r="H46" i="1"/>
  <c r="I46" i="1"/>
  <c r="J46" i="1"/>
  <c r="K46" i="1"/>
  <c r="L46" i="1"/>
  <c r="M46" i="1"/>
  <c r="F37" i="1"/>
  <c r="B37" i="1"/>
  <c r="G37" i="1"/>
  <c r="A37" i="1"/>
  <c r="C37" i="1"/>
  <c r="H37" i="1"/>
  <c r="I37" i="1"/>
  <c r="J37" i="1"/>
  <c r="K37" i="1"/>
  <c r="L37" i="1"/>
  <c r="M37" i="1"/>
  <c r="F38" i="1"/>
  <c r="B38" i="1"/>
  <c r="G38" i="1"/>
  <c r="A38" i="1"/>
  <c r="C38" i="1"/>
  <c r="H38" i="1"/>
  <c r="I38" i="1"/>
  <c r="J38" i="1"/>
  <c r="K38" i="1"/>
  <c r="L38" i="1"/>
  <c r="M38" i="1"/>
  <c r="F86" i="1"/>
  <c r="B86" i="1"/>
  <c r="G86" i="1"/>
  <c r="A86" i="1"/>
  <c r="C86" i="1"/>
  <c r="H86" i="1"/>
  <c r="I86" i="1"/>
  <c r="J86" i="1"/>
  <c r="K86" i="1"/>
  <c r="L86" i="1"/>
  <c r="M86" i="1"/>
  <c r="F90" i="1"/>
  <c r="B90" i="1"/>
  <c r="G90" i="1"/>
  <c r="A90" i="1"/>
  <c r="C90" i="1"/>
  <c r="H90" i="1"/>
  <c r="I90" i="1"/>
  <c r="J90" i="1"/>
  <c r="K90" i="1"/>
  <c r="L90" i="1"/>
  <c r="M90" i="1"/>
  <c r="F79" i="1"/>
  <c r="B79" i="1"/>
  <c r="G79" i="1"/>
  <c r="A79" i="1"/>
  <c r="C79" i="1"/>
  <c r="H79" i="1"/>
  <c r="I79" i="1"/>
  <c r="J79" i="1"/>
  <c r="K79" i="1"/>
  <c r="L79" i="1"/>
  <c r="M79" i="1"/>
  <c r="F99" i="1"/>
  <c r="B99" i="1"/>
  <c r="G99" i="1"/>
  <c r="A99" i="1"/>
  <c r="C99" i="1"/>
  <c r="H99" i="1"/>
  <c r="I99" i="1"/>
  <c r="J99" i="1"/>
  <c r="K99" i="1"/>
  <c r="L99" i="1"/>
  <c r="M99" i="1"/>
  <c r="F81" i="1"/>
  <c r="B81" i="1"/>
  <c r="G81" i="1"/>
  <c r="A81" i="1"/>
  <c r="C81" i="1"/>
  <c r="H81" i="1"/>
  <c r="I81" i="1"/>
  <c r="J81" i="1"/>
  <c r="K81" i="1"/>
  <c r="L81" i="1"/>
  <c r="M81" i="1"/>
  <c r="F26" i="1"/>
  <c r="B26" i="1"/>
  <c r="G26" i="1"/>
  <c r="A26" i="1"/>
  <c r="C26" i="1"/>
  <c r="H26" i="1"/>
  <c r="I26" i="1"/>
  <c r="J26" i="1"/>
  <c r="K26" i="1"/>
  <c r="L26" i="1"/>
  <c r="M26" i="1"/>
  <c r="F10" i="1"/>
  <c r="B10" i="1"/>
  <c r="G10" i="1"/>
  <c r="A10" i="1"/>
  <c r="C10" i="1"/>
  <c r="H10" i="1"/>
  <c r="I10" i="1"/>
  <c r="J10" i="1"/>
  <c r="K10" i="1"/>
  <c r="L10" i="1"/>
  <c r="M10" i="1"/>
  <c r="F34" i="1"/>
  <c r="B34" i="1"/>
  <c r="G34" i="1"/>
  <c r="A34" i="1"/>
  <c r="C34" i="1"/>
  <c r="H34" i="1"/>
  <c r="I34" i="1"/>
  <c r="J34" i="1"/>
  <c r="K34" i="1"/>
  <c r="L34" i="1"/>
  <c r="M34" i="1"/>
  <c r="F112" i="1"/>
  <c r="B112" i="1"/>
  <c r="G112" i="1"/>
  <c r="A112" i="1"/>
  <c r="C112" i="1"/>
  <c r="H112" i="1"/>
  <c r="I112" i="1"/>
  <c r="J112" i="1"/>
  <c r="K112" i="1"/>
  <c r="L112" i="1"/>
  <c r="M112" i="1"/>
  <c r="F5" i="1"/>
  <c r="B5" i="1"/>
  <c r="G5" i="1"/>
  <c r="A5" i="1"/>
  <c r="C5" i="1"/>
  <c r="H5" i="1"/>
  <c r="I5" i="1"/>
  <c r="J5" i="1"/>
  <c r="K5" i="1"/>
  <c r="L5" i="1"/>
  <c r="M5" i="1"/>
  <c r="F100" i="1"/>
  <c r="B100" i="1"/>
  <c r="G100" i="1"/>
  <c r="A100" i="1"/>
  <c r="C100" i="1"/>
  <c r="H100" i="1"/>
  <c r="I100" i="1"/>
  <c r="J100" i="1"/>
  <c r="K100" i="1"/>
  <c r="L100" i="1"/>
  <c r="M100" i="1"/>
  <c r="F94" i="1"/>
  <c r="B94" i="1"/>
  <c r="G94" i="1"/>
  <c r="A94" i="1"/>
  <c r="C94" i="1"/>
  <c r="H94" i="1"/>
  <c r="I94" i="1"/>
  <c r="J94" i="1"/>
  <c r="K94" i="1"/>
  <c r="L94" i="1"/>
  <c r="M94" i="1"/>
  <c r="F119" i="1"/>
  <c r="B119" i="1"/>
  <c r="G119" i="1"/>
  <c r="A119" i="1"/>
  <c r="C119" i="1"/>
  <c r="H119" i="1"/>
  <c r="I119" i="1"/>
  <c r="J119" i="1"/>
  <c r="K119" i="1"/>
  <c r="L119" i="1"/>
  <c r="M119" i="1"/>
  <c r="F120" i="1"/>
  <c r="B120" i="1"/>
  <c r="G120" i="1"/>
  <c r="A120" i="1"/>
  <c r="C120" i="1"/>
  <c r="H120" i="1"/>
  <c r="I120" i="1"/>
  <c r="J120" i="1"/>
  <c r="K120" i="1"/>
  <c r="L120" i="1"/>
  <c r="M120" i="1"/>
  <c r="F115" i="1"/>
  <c r="B115" i="1"/>
  <c r="G115" i="1"/>
  <c r="A115" i="1"/>
  <c r="C115" i="1"/>
  <c r="H115" i="1"/>
  <c r="I115" i="1"/>
  <c r="J115" i="1"/>
  <c r="K115" i="1"/>
  <c r="L115" i="1"/>
  <c r="M115" i="1"/>
  <c r="F6" i="1"/>
  <c r="B6" i="1"/>
  <c r="G6" i="1"/>
  <c r="A6" i="1"/>
  <c r="C6" i="1"/>
  <c r="H6" i="1"/>
  <c r="I6" i="1"/>
  <c r="J6" i="1"/>
  <c r="K6" i="1"/>
  <c r="L6" i="1"/>
  <c r="M6" i="1"/>
  <c r="F111" i="1"/>
  <c r="B111" i="1"/>
  <c r="G111" i="1"/>
  <c r="A111" i="1"/>
  <c r="C111" i="1"/>
  <c r="H111" i="1"/>
  <c r="I111" i="1"/>
  <c r="J111" i="1"/>
  <c r="K111" i="1"/>
  <c r="L111" i="1"/>
  <c r="M111" i="1"/>
  <c r="F89" i="1"/>
  <c r="B89" i="1"/>
  <c r="G89" i="1"/>
  <c r="A89" i="1"/>
  <c r="C89" i="1"/>
  <c r="H89" i="1"/>
  <c r="I89" i="1"/>
  <c r="J89" i="1"/>
  <c r="K89" i="1"/>
  <c r="L89" i="1"/>
  <c r="M89" i="1"/>
  <c r="F121" i="1"/>
  <c r="B121" i="1"/>
  <c r="G121" i="1"/>
  <c r="A121" i="1"/>
  <c r="C121" i="1"/>
  <c r="H121" i="1"/>
  <c r="I121" i="1"/>
  <c r="J121" i="1"/>
  <c r="K121" i="1"/>
  <c r="L121" i="1"/>
  <c r="M121" i="1"/>
  <c r="F110" i="1"/>
  <c r="B110" i="1"/>
  <c r="G110" i="1"/>
  <c r="A110" i="1"/>
  <c r="C110" i="1"/>
  <c r="H110" i="1"/>
  <c r="I110" i="1"/>
  <c r="J110" i="1"/>
  <c r="K110" i="1"/>
  <c r="L110" i="1"/>
  <c r="M110" i="1"/>
  <c r="F69" i="1"/>
  <c r="B69" i="1"/>
  <c r="G69" i="1"/>
  <c r="A69" i="1"/>
  <c r="C69" i="1"/>
  <c r="H69" i="1"/>
  <c r="I69" i="1"/>
  <c r="J69" i="1"/>
  <c r="K69" i="1"/>
  <c r="L69" i="1"/>
  <c r="M69" i="1"/>
  <c r="F39" i="1"/>
  <c r="B39" i="1"/>
  <c r="G39" i="1"/>
  <c r="A39" i="1"/>
  <c r="C39" i="1"/>
  <c r="H39" i="1"/>
  <c r="I39" i="1"/>
  <c r="J39" i="1"/>
  <c r="K39" i="1"/>
  <c r="L39" i="1"/>
  <c r="M39" i="1"/>
  <c r="F72" i="1"/>
  <c r="B72" i="1"/>
  <c r="G72" i="1"/>
  <c r="A72" i="1"/>
  <c r="C72" i="1"/>
  <c r="H72" i="1"/>
  <c r="I72" i="1"/>
  <c r="J72" i="1"/>
  <c r="K72" i="1"/>
  <c r="L72" i="1"/>
  <c r="M72" i="1"/>
  <c r="F18" i="1"/>
  <c r="B18" i="1"/>
  <c r="G18" i="1"/>
  <c r="A18" i="1"/>
  <c r="C18" i="1"/>
  <c r="H18" i="1"/>
  <c r="I18" i="1"/>
  <c r="J18" i="1"/>
  <c r="K18" i="1"/>
  <c r="L18" i="1"/>
  <c r="M18" i="1"/>
  <c r="F57" i="1"/>
  <c r="B57" i="1"/>
  <c r="G57" i="1"/>
  <c r="A57" i="1"/>
  <c r="C57" i="1"/>
  <c r="H57" i="1"/>
  <c r="I57" i="1"/>
  <c r="J57" i="1"/>
  <c r="K57" i="1"/>
  <c r="L57" i="1"/>
  <c r="M57" i="1"/>
  <c r="F95" i="1"/>
  <c r="B95" i="1"/>
  <c r="G95" i="1"/>
  <c r="A95" i="1"/>
  <c r="C95" i="1"/>
  <c r="H95" i="1"/>
  <c r="I95" i="1"/>
  <c r="J95" i="1"/>
  <c r="K95" i="1"/>
  <c r="L95" i="1"/>
  <c r="M95" i="1"/>
  <c r="F116" i="1"/>
  <c r="B116" i="1"/>
  <c r="G116" i="1"/>
  <c r="A116" i="1"/>
  <c r="C116" i="1"/>
  <c r="H116" i="1"/>
  <c r="I116" i="1"/>
  <c r="J116" i="1"/>
  <c r="K116" i="1"/>
  <c r="L116" i="1"/>
  <c r="M116" i="1"/>
  <c r="F25" i="1"/>
  <c r="B25" i="1"/>
  <c r="G25" i="1"/>
  <c r="A25" i="1"/>
  <c r="C25" i="1"/>
  <c r="H25" i="1"/>
  <c r="I25" i="1"/>
  <c r="J25" i="1"/>
  <c r="K25" i="1"/>
  <c r="L25" i="1"/>
  <c r="M25" i="1"/>
  <c r="F73" i="1"/>
  <c r="B73" i="1"/>
  <c r="G73" i="1"/>
  <c r="A73" i="1"/>
  <c r="C73" i="1"/>
  <c r="H73" i="1"/>
  <c r="I73" i="1"/>
  <c r="J73" i="1"/>
  <c r="K73" i="1"/>
  <c r="L73" i="1"/>
  <c r="M73" i="1"/>
  <c r="F30" i="1"/>
  <c r="B30" i="1"/>
  <c r="G30" i="1"/>
  <c r="A30" i="1"/>
  <c r="C30" i="1"/>
  <c r="H30" i="1"/>
  <c r="I30" i="1"/>
  <c r="J30" i="1"/>
  <c r="K30" i="1"/>
  <c r="L30" i="1"/>
  <c r="M30" i="1"/>
  <c r="F80" i="1"/>
  <c r="B80" i="1"/>
  <c r="G80" i="1"/>
  <c r="A80" i="1"/>
  <c r="C80" i="1"/>
  <c r="H80" i="1"/>
  <c r="I80" i="1"/>
  <c r="J80" i="1"/>
  <c r="K80" i="1"/>
  <c r="L80" i="1"/>
  <c r="M80" i="1"/>
  <c r="F35" i="1"/>
  <c r="B35" i="1"/>
  <c r="G35" i="1"/>
  <c r="A35" i="1"/>
  <c r="C35" i="1"/>
  <c r="H35" i="1"/>
  <c r="I35" i="1"/>
  <c r="J35" i="1"/>
  <c r="K35" i="1"/>
  <c r="L35" i="1"/>
  <c r="M35" i="1"/>
  <c r="F31" i="1"/>
  <c r="B31" i="1"/>
  <c r="G31" i="1"/>
  <c r="A31" i="1"/>
  <c r="C31" i="1"/>
  <c r="H31" i="1"/>
  <c r="I31" i="1"/>
  <c r="J31" i="1"/>
  <c r="K31" i="1"/>
  <c r="L31" i="1"/>
  <c r="M31" i="1"/>
  <c r="F29" i="1"/>
  <c r="B29" i="1"/>
  <c r="G29" i="1"/>
  <c r="A29" i="1"/>
  <c r="C29" i="1"/>
  <c r="H29" i="1"/>
  <c r="I29" i="1"/>
  <c r="J29" i="1"/>
  <c r="K29" i="1"/>
  <c r="L29" i="1"/>
  <c r="M29" i="1"/>
  <c r="F58" i="1"/>
  <c r="B58" i="1"/>
  <c r="G58" i="1"/>
  <c r="A58" i="1"/>
  <c r="C58" i="1"/>
  <c r="H58" i="1"/>
  <c r="I58" i="1"/>
  <c r="J58" i="1"/>
  <c r="K58" i="1"/>
  <c r="L58" i="1"/>
  <c r="M58" i="1"/>
  <c r="F59" i="1"/>
  <c r="B59" i="1"/>
  <c r="G59" i="1"/>
  <c r="A59" i="1"/>
  <c r="C59" i="1"/>
  <c r="H59" i="1"/>
  <c r="I59" i="1"/>
  <c r="J59" i="1"/>
  <c r="K59" i="1"/>
  <c r="L59" i="1"/>
  <c r="M59" i="1"/>
  <c r="F68" i="1"/>
  <c r="B68" i="1"/>
  <c r="G68" i="1"/>
  <c r="A68" i="1"/>
  <c r="C68" i="1"/>
  <c r="H68" i="1"/>
  <c r="I68" i="1"/>
  <c r="J68" i="1"/>
  <c r="K68" i="1"/>
  <c r="L68" i="1"/>
  <c r="M68" i="1"/>
  <c r="F28" i="1"/>
  <c r="B28" i="1"/>
  <c r="G28" i="1"/>
  <c r="A28" i="1"/>
  <c r="C28" i="1"/>
  <c r="H28" i="1"/>
  <c r="I28" i="1"/>
  <c r="J28" i="1"/>
  <c r="K28" i="1"/>
  <c r="L28" i="1"/>
  <c r="M28" i="1"/>
  <c r="D28" i="1"/>
  <c r="F27" i="1"/>
  <c r="B27" i="1"/>
  <c r="G27" i="1"/>
  <c r="A27" i="1"/>
  <c r="C27" i="1"/>
  <c r="H27" i="1"/>
  <c r="I27" i="1"/>
  <c r="J27" i="1"/>
  <c r="K27" i="1"/>
  <c r="L27" i="1"/>
  <c r="M27" i="1"/>
  <c r="F88" i="1"/>
  <c r="B88" i="1"/>
  <c r="G88" i="1"/>
  <c r="A88" i="1"/>
  <c r="C88" i="1"/>
  <c r="H88" i="1"/>
  <c r="I88" i="1"/>
  <c r="J88" i="1"/>
  <c r="K88" i="1"/>
  <c r="L88" i="1"/>
  <c r="M88" i="1"/>
  <c r="F82" i="1"/>
  <c r="B82" i="1"/>
  <c r="G82" i="1"/>
  <c r="A82" i="1"/>
  <c r="C82" i="1"/>
  <c r="H82" i="1"/>
  <c r="I82" i="1"/>
  <c r="J82" i="1"/>
  <c r="K82" i="1"/>
  <c r="L82" i="1"/>
  <c r="M82" i="1"/>
  <c r="F3" i="1"/>
  <c r="B3" i="1"/>
  <c r="G3" i="1"/>
  <c r="A3" i="1"/>
  <c r="C3" i="1"/>
  <c r="H3" i="1"/>
  <c r="I3" i="1"/>
  <c r="J3" i="1"/>
  <c r="K3" i="1"/>
  <c r="L3" i="1"/>
  <c r="M3" i="1"/>
  <c r="F4" i="1"/>
  <c r="B4" i="1"/>
  <c r="G4" i="1"/>
  <c r="A4" i="1"/>
  <c r="C4" i="1"/>
  <c r="H4" i="1"/>
  <c r="I4" i="1"/>
  <c r="J4" i="1"/>
  <c r="K4" i="1"/>
  <c r="L4" i="1"/>
  <c r="M4" i="1"/>
</calcChain>
</file>

<file path=xl/sharedStrings.xml><?xml version="1.0" encoding="utf-8"?>
<sst xmlns="http://schemas.openxmlformats.org/spreadsheetml/2006/main" count="16" uniqueCount="9">
  <si>
    <t>PGM</t>
  </si>
  <si>
    <t>CPNT</t>
  </si>
  <si>
    <t>YEAR</t>
  </si>
  <si>
    <t>LET DATE</t>
  </si>
  <si>
    <t>EARLY/PSE</t>
  </si>
  <si>
    <t>CONCEPT</t>
  </si>
  <si>
    <t>NER</t>
  </si>
  <si>
    <t>ROUTE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</si>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</sst>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164" fontId="18" fillId="0" borderId="0" xfId="0" applyNumberFormat="1" applyFont="1"/>
    <xf numFmtId="0" fontId="18" fillId="33" borderId="0" xfId="0" applyFont="1" applyFill="1"/>
    <xf numFmtId="164" fontId="18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topLeftCell="A34" workbookViewId="0">
      <selection activeCell="D51" sqref="D51"/>
    </sheetView>
  </sheetViews>
  <sheetFormatPr defaultColWidth="8.7109375" defaultRowHeight="12" x14ac:dyDescent="0.2"/>
  <cols>
    <col min="1" max="1" width="8.42578125" style="1" bestFit="1" customWidth="1"/>
    <col min="2" max="2" width="4" style="1" bestFit="1" customWidth="1"/>
    <col min="3" max="3" width="4.42578125" style="1" customWidth="1"/>
    <col min="4" max="4" width="8.5703125" style="2" bestFit="1" customWidth="1"/>
    <col min="5" max="5" width="4.28515625" style="1" bestFit="1" customWidth="1"/>
    <col min="6" max="6" width="8.5703125" style="1" bestFit="1" customWidth="1"/>
    <col min="7" max="7" width="7.28515625" style="1" bestFit="1" customWidth="1"/>
    <col min="8" max="8" width="10.140625" style="1" bestFit="1" customWidth="1"/>
    <col min="9" max="9" width="5.5703125" style="1" bestFit="1" customWidth="1"/>
    <col min="10" max="10" width="7" style="1" bestFit="1" customWidth="1"/>
    <col min="11" max="11" width="29.85546875" style="1" bestFit="1" customWidth="1"/>
    <col min="12" max="12" width="29.140625" style="1" bestFit="1" customWidth="1"/>
    <col min="13" max="13" width="29.28515625" style="1" bestFit="1" customWidth="1"/>
    <col min="14" max="14" width="6" style="1" bestFit="1" customWidth="1"/>
    <col min="15" max="16384" width="8.7109375" style="1"/>
  </cols>
  <sheetData>
    <row r="1" spans="1:14" x14ac:dyDescent="0.2">
      <c r="A1" s="3" t="str">
        <f>CLEAN("PROJECT")</f>
        <v>PROJECT</v>
      </c>
      <c r="B1" s="3" t="s">
        <v>0</v>
      </c>
      <c r="C1" s="3" t="s">
        <v>1</v>
      </c>
      <c r="D1" s="4" t="s">
        <v>4</v>
      </c>
      <c r="E1" s="3" t="s">
        <v>2</v>
      </c>
      <c r="F1" s="3" t="s">
        <v>3</v>
      </c>
      <c r="G1" s="3" t="s">
        <v>5</v>
      </c>
      <c r="H1" s="3" t="str">
        <f>CLEAN("COUNTY")</f>
        <v>COUNTY</v>
      </c>
      <c r="I1" s="3" t="s">
        <v>7</v>
      </c>
      <c r="J1" s="3" t="s">
        <v>8</v>
      </c>
      <c r="K1" s="3" t="str">
        <f>CLEAN("TITLE")</f>
        <v>TITLE</v>
      </c>
      <c r="L1" s="3" t="str">
        <f>CLEAN("LIMIT")</f>
        <v>LIMIT</v>
      </c>
      <c r="M1" s="3" t="str">
        <f>CLEAN("CONCEPT")</f>
        <v>CONCEPT</v>
      </c>
      <c r="N1" s="3" t="str">
        <f>CLEAN("NMILES")</f>
        <v>NMILES</v>
      </c>
    </row>
    <row r="2" spans="1:14" x14ac:dyDescent="0.2">
      <c r="A2" s="1" t="str">
        <f>CLEAN("1470-35-71")</f>
        <v>1470-35-71</v>
      </c>
      <c r="B2" s="1" t="str">
        <f t="shared" ref="B2:B10" si="0">CLEAN("303")</f>
        <v>303</v>
      </c>
      <c r="C2" s="1" t="str">
        <f t="shared" ref="C2:C33" si="1">CLEAN("LET")</f>
        <v>LET</v>
      </c>
      <c r="D2" s="2">
        <v>43586</v>
      </c>
      <c r="E2" s="1">
        <v>2020</v>
      </c>
      <c r="F2" s="1" t="str">
        <f>CLEAN("08/13/2019")</f>
        <v>08/13/2019</v>
      </c>
      <c r="G2" s="1" t="str">
        <f>CLEAN("BRRPL")</f>
        <v>BRRPL</v>
      </c>
      <c r="H2" s="1" t="str">
        <f>CLEAN("KEWAUNEE")</f>
        <v>KEWAUNEE</v>
      </c>
      <c r="I2" s="1" t="str">
        <f>CLEAN("STH")</f>
        <v>STH</v>
      </c>
      <c r="J2" s="1" t="str">
        <f>CLEAN("042")</f>
        <v>042</v>
      </c>
      <c r="K2" s="1" t="str">
        <f>CLEAN("KEWAUNEE - ALGOMA")</f>
        <v>KEWAUNEE - ALGOMA</v>
      </c>
      <c r="L2" s="1" t="str">
        <f>CLEAN("DRAINAGE WAY CULVERT")</f>
        <v>DRAINAGE WAY CULVERT</v>
      </c>
      <c r="M2" s="1" t="str">
        <f>CLEAN("CONST PIPE")</f>
        <v>CONST PIPE</v>
      </c>
      <c r="N2" s="1">
        <v>0.10199999999999999</v>
      </c>
    </row>
    <row r="3" spans="1:14" x14ac:dyDescent="0.2">
      <c r="A3" s="1" t="str">
        <f>CLEAN("9560-02-74")</f>
        <v>9560-02-74</v>
      </c>
      <c r="B3" s="1" t="str">
        <f t="shared" si="0"/>
        <v>303</v>
      </c>
      <c r="C3" s="1" t="str">
        <f t="shared" si="1"/>
        <v>LET</v>
      </c>
      <c r="D3" s="2">
        <v>43586</v>
      </c>
      <c r="E3" s="1">
        <v>2020</v>
      </c>
      <c r="F3" s="1" t="str">
        <f>CLEAN("08/13/2019")</f>
        <v>08/13/2019</v>
      </c>
      <c r="G3" s="1" t="str">
        <f>CLEAN("RECST")</f>
        <v>RECST</v>
      </c>
      <c r="H3" s="1" t="str">
        <f>CLEAN("MARINETTE")</f>
        <v>MARINETTE</v>
      </c>
      <c r="I3" s="1" t="str">
        <f>CLEAN("USH")</f>
        <v>USH</v>
      </c>
      <c r="J3" s="1" t="str">
        <f>CLEAN("141")</f>
        <v>141</v>
      </c>
      <c r="K3" s="1" t="str">
        <f>CLEAN("CITY OF NIAGARA")</f>
        <v>CITY OF NIAGARA</v>
      </c>
      <c r="L3" s="1" t="str">
        <f>CLEAN("PINE STREET-4TH STREET")</f>
        <v>PINE STREET-4TH STREET</v>
      </c>
      <c r="M3" s="1" t="str">
        <f>CLEAN("CONST/RW-YES")</f>
        <v>CONST/RW-YES</v>
      </c>
      <c r="N3" s="1">
        <v>1.71</v>
      </c>
    </row>
    <row r="4" spans="1:14" x14ac:dyDescent="0.2">
      <c r="A4" s="1" t="str">
        <f>CLEAN("9560-02-75")</f>
        <v>9560-02-75</v>
      </c>
      <c r="B4" s="1" t="str">
        <f t="shared" si="0"/>
        <v>303</v>
      </c>
      <c r="C4" s="1" t="str">
        <f t="shared" si="1"/>
        <v>LET</v>
      </c>
      <c r="D4" s="2">
        <v>43586</v>
      </c>
      <c r="E4" s="1">
        <v>2020</v>
      </c>
      <c r="F4" s="1" t="str">
        <f>CLEAN("08/13/2019")</f>
        <v>08/13/2019</v>
      </c>
      <c r="G4" s="1" t="str">
        <f>CLEAN("RSRF20")</f>
        <v>RSRF20</v>
      </c>
      <c r="H4" s="1" t="str">
        <f>CLEAN("MARINETTE")</f>
        <v>MARINETTE</v>
      </c>
      <c r="I4" s="1" t="str">
        <f>CLEAN("USH")</f>
        <v>USH</v>
      </c>
      <c r="J4" s="1" t="str">
        <f>CLEAN("141")</f>
        <v>141</v>
      </c>
      <c r="K4" s="1" t="str">
        <f>CLEAN("CITY OF NIAGARA")</f>
        <v>CITY OF NIAGARA</v>
      </c>
      <c r="L4" s="1" t="str">
        <f>CLEAN("BETTERS COURT - PINE STREET")</f>
        <v>BETTERS COURT - PINE STREET</v>
      </c>
      <c r="M4" s="1" t="str">
        <f>CLEAN("CONST/RW-NO")</f>
        <v>CONST/RW-NO</v>
      </c>
      <c r="N4" s="1">
        <v>1.71</v>
      </c>
    </row>
    <row r="5" spans="1:14" x14ac:dyDescent="0.2">
      <c r="A5" s="1" t="str">
        <f>CLEAN("6180-18-71")</f>
        <v>6180-18-71</v>
      </c>
      <c r="B5" s="1" t="str">
        <f t="shared" si="0"/>
        <v>303</v>
      </c>
      <c r="C5" s="1" t="str">
        <f t="shared" si="1"/>
        <v>LET</v>
      </c>
      <c r="D5" s="2">
        <v>43586</v>
      </c>
      <c r="E5" s="1">
        <v>2020</v>
      </c>
      <c r="F5" s="1" t="str">
        <f>CLEAN("11/12/2019")</f>
        <v>11/12/2019</v>
      </c>
      <c r="G5" s="1" t="str">
        <f>CLEAN("BRRHB")</f>
        <v>BRRHB</v>
      </c>
      <c r="H5" s="1" t="str">
        <f>CLEAN("WINNEBAGO")</f>
        <v>WINNEBAGO</v>
      </c>
      <c r="I5" s="1" t="str">
        <f>CLEAN("STH")</f>
        <v>STH</v>
      </c>
      <c r="J5" s="1" t="str">
        <f>CLEAN("021")</f>
        <v>021</v>
      </c>
      <c r="K5" s="1" t="str">
        <f>CLEAN("OSHKOSH AVENUE  CITY OF OSHKOSH")</f>
        <v>OSHKOSH AVENUE  CITY OF OSHKOSH</v>
      </c>
      <c r="L5" s="1" t="str">
        <f>CLEAN("FOX RIVER BRIDGE B-70-0091")</f>
        <v>FOX RIVER BRIDGE B-70-0091</v>
      </c>
      <c r="M5" s="1" t="str">
        <f>CLEAN("DECK OVERLAY R/W-NO")</f>
        <v>DECK OVERLAY R/W-NO</v>
      </c>
      <c r="N5" s="1">
        <v>0.14000000000000001</v>
      </c>
    </row>
    <row r="6" spans="1:14" x14ac:dyDescent="0.2">
      <c r="A6" s="1" t="str">
        <f>CLEAN("6430-12-71")</f>
        <v>6430-12-71</v>
      </c>
      <c r="B6" s="1" t="str">
        <f t="shared" si="0"/>
        <v>303</v>
      </c>
      <c r="C6" s="1" t="str">
        <f t="shared" si="1"/>
        <v>LET</v>
      </c>
      <c r="D6" s="2">
        <v>43586</v>
      </c>
      <c r="E6" s="1">
        <v>2020</v>
      </c>
      <c r="F6" s="1" t="str">
        <f>CLEAN("11/12/2019")</f>
        <v>11/12/2019</v>
      </c>
      <c r="G6" s="1" t="str">
        <f>CLEAN("RECST")</f>
        <v>RECST</v>
      </c>
      <c r="H6" s="1" t="str">
        <f>CLEAN("WINNEBAGO")</f>
        <v>WINNEBAGO</v>
      </c>
      <c r="I6" s="1" t="str">
        <f>CLEAN("STH")</f>
        <v>STH</v>
      </c>
      <c r="J6" s="1" t="str">
        <f>CLEAN("076")</f>
        <v>076</v>
      </c>
      <c r="K6" s="1" t="str">
        <f>CLEAN("IH 41 - CTH JJ")</f>
        <v>IH 41 - CTH JJ</v>
      </c>
      <c r="L6" s="1" t="str">
        <f>CLEAN("STH 76 DIVIDED ENDS - CTH JJ")</f>
        <v>STH 76 DIVIDED ENDS - CTH JJ</v>
      </c>
      <c r="M6" s="1" t="str">
        <f>CLEAN("R/W-YES")</f>
        <v>R/W-YES</v>
      </c>
      <c r="N6" s="1">
        <v>3.7</v>
      </c>
    </row>
    <row r="7" spans="1:14" x14ac:dyDescent="0.2">
      <c r="A7" s="1" t="str">
        <f>CLEAN("1500-37-76")</f>
        <v>1500-37-76</v>
      </c>
      <c r="B7" s="1" t="str">
        <f t="shared" si="0"/>
        <v>303</v>
      </c>
      <c r="C7" s="1" t="str">
        <f t="shared" si="1"/>
        <v>LET</v>
      </c>
      <c r="D7" s="2">
        <v>43678</v>
      </c>
      <c r="E7" s="1">
        <v>2020</v>
      </c>
      <c r="F7" s="1" t="str">
        <f>CLEAN("12/10/2019")</f>
        <v>12/10/2019</v>
      </c>
      <c r="G7" s="1" t="str">
        <f>CLEAN("RECST")</f>
        <v>RECST</v>
      </c>
      <c r="H7" s="1" t="str">
        <f>CLEAN("MANITOWOC")</f>
        <v>MANITOWOC</v>
      </c>
      <c r="I7" s="1" t="str">
        <f>CLEAN("USH")</f>
        <v>USH</v>
      </c>
      <c r="J7" s="1" t="str">
        <f>CLEAN("010")</f>
        <v>010</v>
      </c>
      <c r="K7" s="1" t="str">
        <f>CLEAN("WALDO BLVD  CITY OF MANITOWOC")</f>
        <v>WALDO BLVD  CITY OF MANITOWOC</v>
      </c>
      <c r="L7" s="1" t="str">
        <f>CLEAN("FLEETWOOD DR - 14TH STREET")</f>
        <v>FLEETWOOD DR - 14TH STREET</v>
      </c>
      <c r="M7" s="1" t="str">
        <f>CLEAN("CONST")</f>
        <v>CONST</v>
      </c>
      <c r="N7" s="1">
        <v>1.157</v>
      </c>
    </row>
    <row r="8" spans="1:14" x14ac:dyDescent="0.2">
      <c r="A8" s="1" t="str">
        <f>CLEAN("1500-37-77")</f>
        <v>1500-37-77</v>
      </c>
      <c r="B8" s="1" t="str">
        <f t="shared" si="0"/>
        <v>303</v>
      </c>
      <c r="C8" s="1" t="str">
        <f t="shared" si="1"/>
        <v>LET</v>
      </c>
      <c r="D8" s="2">
        <v>43678</v>
      </c>
      <c r="E8" s="1">
        <v>2020</v>
      </c>
      <c r="F8" s="1" t="str">
        <f>CLEAN("12/10/2019")</f>
        <v>12/10/2019</v>
      </c>
      <c r="G8" s="1" t="str">
        <f>CLEAN("RECST")</f>
        <v>RECST</v>
      </c>
      <c r="H8" s="1" t="str">
        <f>CLEAN("MANITOWOC")</f>
        <v>MANITOWOC</v>
      </c>
      <c r="I8" s="1" t="str">
        <f>CLEAN("USH")</f>
        <v>USH</v>
      </c>
      <c r="J8" s="1" t="str">
        <f>CLEAN("010")</f>
        <v>010</v>
      </c>
      <c r="K8" s="1" t="str">
        <f>CLEAN("WALDO BLVD  CITY OF MANITOWOC")</f>
        <v>WALDO BLVD  CITY OF MANITOWOC</v>
      </c>
      <c r="L8" s="1" t="str">
        <f>CLEAN("FLEETWOOD DR - 14TH STREET")</f>
        <v>FLEETWOOD DR - 14TH STREET</v>
      </c>
      <c r="M8" s="1" t="str">
        <f>CLEAN("CONST SANITARY &amp; WATER")</f>
        <v>CONST SANITARY &amp; WATER</v>
      </c>
      <c r="N8" s="1">
        <v>1.17</v>
      </c>
    </row>
    <row r="9" spans="1:14" x14ac:dyDescent="0.2">
      <c r="A9" s="1" t="str">
        <f>CLEAN("1500-47-71")</f>
        <v>1500-47-71</v>
      </c>
      <c r="B9" s="1" t="str">
        <f t="shared" si="0"/>
        <v>303</v>
      </c>
      <c r="C9" s="1" t="str">
        <f t="shared" si="1"/>
        <v>LET</v>
      </c>
      <c r="D9" s="2">
        <v>43678</v>
      </c>
      <c r="E9" s="1">
        <v>2020</v>
      </c>
      <c r="F9" s="1" t="str">
        <f>CLEAN("12/10/2019")</f>
        <v>12/10/2019</v>
      </c>
      <c r="G9" s="1" t="str">
        <f>CLEAN("RSRF30")</f>
        <v>RSRF30</v>
      </c>
      <c r="H9" s="1" t="str">
        <f>CLEAN("MANITOWOC")</f>
        <v>MANITOWOC</v>
      </c>
      <c r="I9" s="1" t="str">
        <f>CLEAN("USH")</f>
        <v>USH</v>
      </c>
      <c r="J9" s="1" t="str">
        <f>CLEAN("010")</f>
        <v>010</v>
      </c>
      <c r="K9" s="1" t="str">
        <f>CLEAN("WALDO BLVD.  CITY OF MANITOWOC")</f>
        <v>WALDO BLVD.  CITY OF MANITOWOC</v>
      </c>
      <c r="L9" s="1" t="str">
        <f>CLEAN("CTH R - FLEETWOOD DRIVE")</f>
        <v>CTH R - FLEETWOOD DRIVE</v>
      </c>
      <c r="M9" s="1" t="str">
        <f>CLEAN("RW-NO")</f>
        <v>RW-NO</v>
      </c>
      <c r="N9" s="1">
        <v>0.63</v>
      </c>
    </row>
    <row r="10" spans="1:14" x14ac:dyDescent="0.2">
      <c r="A10" s="1" t="str">
        <f>CLEAN("4997-05-71")</f>
        <v>4997-05-71</v>
      </c>
      <c r="B10" s="1" t="str">
        <f t="shared" si="0"/>
        <v>303</v>
      </c>
      <c r="C10" s="1" t="str">
        <f t="shared" si="1"/>
        <v>LET</v>
      </c>
      <c r="D10" s="2">
        <v>43678</v>
      </c>
      <c r="E10" s="1">
        <v>2020</v>
      </c>
      <c r="F10" s="1" t="str">
        <f>CLEAN("01/14/2020")</f>
        <v>01/14/2020</v>
      </c>
      <c r="G10" s="1" t="str">
        <f>CLEAN("BRRHB")</f>
        <v>BRRHB</v>
      </c>
      <c r="H10" s="1" t="str">
        <f>CLEAN("DOOR")</f>
        <v>DOOR</v>
      </c>
      <c r="I10" s="1" t="str">
        <f>CLEAN("LOC")</f>
        <v>LOC</v>
      </c>
      <c r="J10" s="1" t="str">
        <f>CLEAN("STR")</f>
        <v>STR</v>
      </c>
      <c r="K10" s="1" t="str">
        <f>CLEAN("MAPLE - OREGON BRIDGE  STURGEON BAY")</f>
        <v>MAPLE - OREGON BRIDGE  STURGEON BAY</v>
      </c>
      <c r="L10" s="1" t="str">
        <f>CLEAN("NEENAH AVENUE - FIRST AVENUE")</f>
        <v>NEENAH AVENUE - FIRST AVENUE</v>
      </c>
      <c r="M10" s="1" t="str">
        <f>CLEAN("84.10 BRIDGE  B-15-19 20 23")</f>
        <v>84.10 BRIDGE  B-15-19 20 23</v>
      </c>
      <c r="N10" s="1">
        <v>0.27600000000000002</v>
      </c>
    </row>
    <row r="11" spans="1:14" x14ac:dyDescent="0.2">
      <c r="A11" s="1" t="str">
        <f>CLEAN("1440-13-72")</f>
        <v>1440-13-72</v>
      </c>
      <c r="B11" s="1" t="str">
        <f>CLEAN("302")</f>
        <v>302</v>
      </c>
      <c r="C11" s="1" t="str">
        <f t="shared" si="1"/>
        <v>LET</v>
      </c>
      <c r="D11" s="2">
        <v>43405</v>
      </c>
      <c r="E11" s="1">
        <v>2020</v>
      </c>
      <c r="F11" s="1" t="str">
        <f>CLEAN("01/14/2020")</f>
        <v>01/14/2020</v>
      </c>
      <c r="G11" s="1" t="str">
        <f>CLEAN("RECST")</f>
        <v>RECST</v>
      </c>
      <c r="H11" s="1" t="str">
        <f>CLEAN("SHEBOYGAN")</f>
        <v>SHEBOYGAN</v>
      </c>
      <c r="I11" s="1" t="str">
        <f>CLEAN("STH")</f>
        <v>STH</v>
      </c>
      <c r="J11" s="1" t="str">
        <f>CLEAN("023")</f>
        <v>023</v>
      </c>
      <c r="K11" s="1" t="str">
        <f>CLEAN("FOND DU LAC - PLYMOUTH")</f>
        <v>FOND DU LAC - PLYMOUTH</v>
      </c>
      <c r="L11" s="1" t="str">
        <f>CLEAN("WCL - CTH P")</f>
        <v>WCL - CTH P</v>
      </c>
      <c r="M11" s="1" t="str">
        <f>CLEAN("CONST/RECST")</f>
        <v>CONST/RECST</v>
      </c>
      <c r="N11" s="1">
        <v>7.423</v>
      </c>
    </row>
    <row r="12" spans="1:14" x14ac:dyDescent="0.2">
      <c r="A12" s="1" t="str">
        <f>CLEAN("4075-33-71")</f>
        <v>4075-33-71</v>
      </c>
      <c r="B12" s="1" t="str">
        <f>CLEAN("303")</f>
        <v>303</v>
      </c>
      <c r="C12" s="1" t="str">
        <f t="shared" si="1"/>
        <v>LET</v>
      </c>
      <c r="D12" s="2">
        <v>43678</v>
      </c>
      <c r="E12" s="1">
        <v>2020</v>
      </c>
      <c r="F12" s="1" t="str">
        <f>CLEAN("01/14/2020")</f>
        <v>01/14/2020</v>
      </c>
      <c r="G12" s="1" t="str">
        <f>CLEAN("RECST")</f>
        <v>RECST</v>
      </c>
      <c r="H12" s="1" t="str">
        <f>CLEAN("OUTAGAMIE")</f>
        <v>OUTAGAMIE</v>
      </c>
      <c r="I12" s="1" t="str">
        <f>CLEAN("STH")</f>
        <v>STH</v>
      </c>
      <c r="J12" s="1" t="str">
        <f>CLEAN("096")</f>
        <v>096</v>
      </c>
      <c r="K12" s="1" t="str">
        <f>CLEAN("CITY OF KAUKAUNA  GREEN BAY ROAD")</f>
        <v>CITY OF KAUKAUNA  GREEN BAY ROAD</v>
      </c>
      <c r="L12" s="1" t="str">
        <f>CLEAN("LAWE STREET - CLARIBEL STREET")</f>
        <v>LAWE STREET - CLARIBEL STREET</v>
      </c>
      <c r="M12" s="1" t="str">
        <f>CLEAN("R/W - YES BY CITY")</f>
        <v>R/W - YES BY CITY</v>
      </c>
      <c r="N12" s="1">
        <v>0.54700000000000004</v>
      </c>
    </row>
    <row r="13" spans="1:14" x14ac:dyDescent="0.2">
      <c r="A13" s="1" t="str">
        <f>CLEAN("1130-59-71")</f>
        <v>1130-59-71</v>
      </c>
      <c r="B13" s="1" t="str">
        <f>CLEAN("303")</f>
        <v>303</v>
      </c>
      <c r="C13" s="1" t="str">
        <f t="shared" si="1"/>
        <v>LET</v>
      </c>
      <c r="D13" s="2">
        <v>43709</v>
      </c>
      <c r="E13" s="1">
        <v>2020</v>
      </c>
      <c r="F13" s="1" t="str">
        <f>CLEAN("02/11/2020")</f>
        <v>02/11/2020</v>
      </c>
      <c r="G13" s="1" t="str">
        <f>CLEAN("BRRHB")</f>
        <v>BRRHB</v>
      </c>
      <c r="H13" s="1" t="str">
        <f>CLEAN("OUTAGAMIE")</f>
        <v>OUTAGAMIE</v>
      </c>
      <c r="I13" s="1" t="str">
        <f>CLEAN("IH")</f>
        <v>IH</v>
      </c>
      <c r="J13" s="1" t="str">
        <f>CLEAN("041")</f>
        <v>041</v>
      </c>
      <c r="K13" s="1" t="str">
        <f>CLEAN("STH 15 - STH 47")</f>
        <v>STH 15 - STH 47</v>
      </c>
      <c r="L13" s="1" t="str">
        <f>CLEAN("GILLETT ST &amp; RXR BRIDGES")</f>
        <v>GILLETT ST &amp; RXR BRIDGES</v>
      </c>
      <c r="M13" s="1" t="str">
        <f>CLEAN("RAILING REPAIR B-44-20 21 28 29")</f>
        <v>RAILING REPAIR B-44-20 21 28 29</v>
      </c>
      <c r="N13" s="1">
        <v>0</v>
      </c>
    </row>
    <row r="14" spans="1:14" x14ac:dyDescent="0.2">
      <c r="A14" s="1" t="str">
        <f>CLEAN("1009-33-24")</f>
        <v>1009-33-24</v>
      </c>
      <c r="B14" s="1" t="str">
        <f>CLEAN("303")</f>
        <v>303</v>
      </c>
      <c r="C14" s="1" t="str">
        <f t="shared" si="1"/>
        <v>LET</v>
      </c>
      <c r="D14" s="2">
        <v>43770</v>
      </c>
      <c r="E14" s="1">
        <v>2020</v>
      </c>
      <c r="F14" s="1" t="str">
        <f>CLEAN("03/10/2020")</f>
        <v>03/10/2020</v>
      </c>
      <c r="G14" s="1" t="str">
        <f>CLEAN("BRPVTV")</f>
        <v>BRPVTV</v>
      </c>
      <c r="H14" s="1" t="s">
        <v>6</v>
      </c>
      <c r="I14" s="1" t="str">
        <f>CLEAN("VAR")</f>
        <v>VAR</v>
      </c>
      <c r="J14" s="1" t="str">
        <f>CLEAN("HWY")</f>
        <v>HWY</v>
      </c>
      <c r="K14" s="1" t="str">
        <f>CLEAN("REGION WIDE DECK SEALING FY20")</f>
        <v>REGION WIDE DECK SEALING FY20</v>
      </c>
      <c r="L14" s="1" t="str">
        <f>CLEAN("VARIOUS BACKBONE ROUTES STH")</f>
        <v>VARIOUS BACKBONE ROUTES STH</v>
      </c>
      <c r="M14" s="1" t="str">
        <f>CLEAN("CONST/DECK SEALING")</f>
        <v>CONST/DECK SEALING</v>
      </c>
      <c r="N14" s="1">
        <v>0</v>
      </c>
    </row>
    <row r="15" spans="1:14" x14ac:dyDescent="0.2">
      <c r="A15" s="1" t="str">
        <f>CLEAN("1009-33-31")</f>
        <v>1009-33-31</v>
      </c>
      <c r="B15" s="1" t="str">
        <f>CLEAN("303")</f>
        <v>303</v>
      </c>
      <c r="C15" s="1" t="str">
        <f t="shared" si="1"/>
        <v>LET</v>
      </c>
      <c r="D15" s="2">
        <v>43770</v>
      </c>
      <c r="E15" s="1">
        <v>2020</v>
      </c>
      <c r="F15" s="1" t="str">
        <f>CLEAN("03/10/2020")</f>
        <v>03/10/2020</v>
      </c>
      <c r="G15" s="1" t="str">
        <f>CLEAN("BRPVTV")</f>
        <v>BRPVTV</v>
      </c>
      <c r="H15" s="1" t="s">
        <v>6</v>
      </c>
      <c r="I15" s="1" t="str">
        <f>CLEAN("VAR")</f>
        <v>VAR</v>
      </c>
      <c r="J15" s="1" t="str">
        <f>CLEAN("HWY")</f>
        <v>HWY</v>
      </c>
      <c r="K15" s="1" t="str">
        <f>CLEAN("REGION WIDE DECK SEALING FY20")</f>
        <v>REGION WIDE DECK SEALING FY20</v>
      </c>
      <c r="L15" s="1" t="str">
        <f>CLEAN("VARIOUS 3R/LCB ROUTES STH")</f>
        <v>VARIOUS 3R/LCB ROUTES STH</v>
      </c>
      <c r="M15" s="1" t="str">
        <f>CLEAN("CONST/DECK SEALING")</f>
        <v>CONST/DECK SEALING</v>
      </c>
      <c r="N15" s="1">
        <v>0</v>
      </c>
    </row>
    <row r="16" spans="1:14" x14ac:dyDescent="0.2">
      <c r="A16" s="1" t="str">
        <f>CLEAN("1440-15-72")</f>
        <v>1440-15-72</v>
      </c>
      <c r="B16" s="1" t="str">
        <f>CLEAN("302")</f>
        <v>302</v>
      </c>
      <c r="C16" s="1" t="str">
        <f t="shared" si="1"/>
        <v>LET</v>
      </c>
      <c r="D16" s="2">
        <v>43784</v>
      </c>
      <c r="E16" s="1">
        <v>2020</v>
      </c>
      <c r="F16" s="1" t="str">
        <f>CLEAN("03/10/2020")</f>
        <v>03/10/2020</v>
      </c>
      <c r="G16" s="1" t="str">
        <f>CLEAN("RECST")</f>
        <v>RECST</v>
      </c>
      <c r="H16" s="1" t="str">
        <f>CLEAN("FOND DU LAC")</f>
        <v>FOND DU LAC</v>
      </c>
      <c r="I16" s="1" t="str">
        <f>CLEAN("STH")</f>
        <v>STH</v>
      </c>
      <c r="J16" s="1" t="str">
        <f>CLEAN("023")</f>
        <v>023</v>
      </c>
      <c r="K16" s="1" t="str">
        <f>CLEAN("FOND DU LAC - PLYMOUTH")</f>
        <v>FOND DU LAC - PLYMOUTH</v>
      </c>
      <c r="L16" s="1" t="str">
        <f>CLEAN("SEVEN HILLS ROAD-EAST COUNTY LINE")</f>
        <v>SEVEN HILLS ROAD-EAST COUNTY LINE</v>
      </c>
      <c r="M16" s="1" t="str">
        <f>CLEAN("GRADING     R/W - YES")</f>
        <v>GRADING     R/W - YES</v>
      </c>
      <c r="N16" s="1">
        <v>6.85</v>
      </c>
    </row>
    <row r="17" spans="1:14" x14ac:dyDescent="0.2">
      <c r="A17" s="1" t="str">
        <f>CLEAN("1440-15-73")</f>
        <v>1440-15-73</v>
      </c>
      <c r="B17" s="1" t="str">
        <f>CLEAN("302")</f>
        <v>302</v>
      </c>
      <c r="C17" s="1" t="str">
        <f t="shared" si="1"/>
        <v>LET</v>
      </c>
      <c r="D17" s="2">
        <v>43784</v>
      </c>
      <c r="E17" s="1">
        <v>2020</v>
      </c>
      <c r="F17" s="1" t="str">
        <f>CLEAN("03/10/2020")</f>
        <v>03/10/2020</v>
      </c>
      <c r="G17" s="1" t="str">
        <f>CLEAN("RECST")</f>
        <v>RECST</v>
      </c>
      <c r="H17" s="1" t="str">
        <f>CLEAN("FOND DU LAC")</f>
        <v>FOND DU LAC</v>
      </c>
      <c r="I17" s="1" t="str">
        <f>CLEAN("STH")</f>
        <v>STH</v>
      </c>
      <c r="J17" s="1" t="str">
        <f>CLEAN("023")</f>
        <v>023</v>
      </c>
      <c r="K17" s="1" t="str">
        <f>CLEAN("FOND DU LAC - PLYMOUTH")</f>
        <v>FOND DU LAC - PLYMOUTH</v>
      </c>
      <c r="L17" s="1" t="str">
        <f>CLEAN("SEVEN HILLS ROAD-EAST COUNTY LINE")</f>
        <v>SEVEN HILLS ROAD-EAST COUNTY LINE</v>
      </c>
      <c r="M17" s="1" t="str">
        <f>CLEAN("BASE/PAVE       R/W-NO")</f>
        <v>BASE/PAVE       R/W-NO</v>
      </c>
      <c r="N17" s="1">
        <v>6.85</v>
      </c>
    </row>
    <row r="18" spans="1:14" x14ac:dyDescent="0.2">
      <c r="A18" s="1" t="str">
        <f>CLEAN("9140-13-71")</f>
        <v>9140-13-71</v>
      </c>
      <c r="B18" s="1" t="str">
        <f t="shared" ref="B18:B51" si="2">CLEAN("303")</f>
        <v>303</v>
      </c>
      <c r="C18" s="1" t="str">
        <f t="shared" si="1"/>
        <v>LET</v>
      </c>
      <c r="D18" s="2">
        <v>43770</v>
      </c>
      <c r="E18" s="1">
        <v>2020</v>
      </c>
      <c r="F18" s="1" t="str">
        <f>CLEAN("04/14/2020")</f>
        <v>04/14/2020</v>
      </c>
      <c r="G18" s="1" t="str">
        <f>CLEAN("RSRF20")</f>
        <v>RSRF20</v>
      </c>
      <c r="H18" s="1" t="str">
        <f>CLEAN("OCONTO")</f>
        <v>OCONTO</v>
      </c>
      <c r="I18" s="1" t="str">
        <f>CLEAN("STH")</f>
        <v>STH</v>
      </c>
      <c r="J18" s="1" t="str">
        <f>CLEAN("064")</f>
        <v>064</v>
      </c>
      <c r="K18" s="1" t="str">
        <f>CLEAN("LANGLADE-MOUNTAIN")</f>
        <v>LANGLADE-MOUNTAIN</v>
      </c>
      <c r="L18" s="1" t="str">
        <f>CLEAN("WCL-STH 32")</f>
        <v>WCL-STH 32</v>
      </c>
      <c r="M18" s="1" t="str">
        <f>CLEAN("CONST/RESURF")</f>
        <v>CONST/RESURF</v>
      </c>
      <c r="N18" s="1">
        <v>6.7590000000000003</v>
      </c>
    </row>
    <row r="19" spans="1:14" x14ac:dyDescent="0.2">
      <c r="A19" s="1" t="str">
        <f>CLEAN("4090-05-71")</f>
        <v>4090-05-71</v>
      </c>
      <c r="B19" s="1" t="str">
        <f t="shared" si="2"/>
        <v>303</v>
      </c>
      <c r="C19" s="1" t="str">
        <f t="shared" si="1"/>
        <v>LET</v>
      </c>
      <c r="D19" s="2">
        <v>43770</v>
      </c>
      <c r="E19" s="1">
        <v>2020</v>
      </c>
      <c r="F19" s="1" t="str">
        <f>CLEAN("04/14/2020")</f>
        <v>04/14/2020</v>
      </c>
      <c r="G19" s="1" t="str">
        <f>CLEAN("RSRF30")</f>
        <v>RSRF30</v>
      </c>
      <c r="H19" s="1" t="str">
        <f>CLEAN("FOND DU LAC")</f>
        <v>FOND DU LAC</v>
      </c>
      <c r="I19" s="1" t="str">
        <f>CLEAN("STH")</f>
        <v>STH</v>
      </c>
      <c r="J19" s="1" t="str">
        <f>CLEAN("067")</f>
        <v>067</v>
      </c>
      <c r="K19" s="1" t="str">
        <f>CLEAN("ECPL CAMPBELLSPORT - USH 45")</f>
        <v>ECPL CAMPBELLSPORT - USH 45</v>
      </c>
      <c r="L19" s="1" t="str">
        <f>CLEAN("TRIPLE S ROAD-USH 45")</f>
        <v>TRIPLE S ROAD-USH 45</v>
      </c>
      <c r="M19" s="1" t="str">
        <f>CLEAN("CONST/RESURF")</f>
        <v>CONST/RESURF</v>
      </c>
      <c r="N19" s="1">
        <v>1.4019999999999999</v>
      </c>
    </row>
    <row r="20" spans="1:14" x14ac:dyDescent="0.2">
      <c r="A20" s="1" t="str">
        <f>CLEAN("4530-06-71")</f>
        <v>4530-06-71</v>
      </c>
      <c r="B20" s="1" t="str">
        <f t="shared" si="2"/>
        <v>303</v>
      </c>
      <c r="C20" s="1" t="str">
        <f t="shared" si="1"/>
        <v>LET</v>
      </c>
      <c r="D20" s="2">
        <v>43770</v>
      </c>
      <c r="E20" s="1">
        <v>2020</v>
      </c>
      <c r="F20" s="1" t="str">
        <f>CLEAN("04/14/2020")</f>
        <v>04/14/2020</v>
      </c>
      <c r="G20" s="1" t="str">
        <f>CLEAN("RSRF30")</f>
        <v>RSRF30</v>
      </c>
      <c r="H20" s="1" t="str">
        <f>CLEAN("FOND DU LAC")</f>
        <v>FOND DU LAC</v>
      </c>
      <c r="I20" s="1" t="str">
        <f>CLEAN("STH")</f>
        <v>STH</v>
      </c>
      <c r="J20" s="1" t="str">
        <f>CLEAN("067")</f>
        <v>067</v>
      </c>
      <c r="K20" s="1" t="str">
        <f>CLEAN("USH 45 - ECL")</f>
        <v>USH 45 - ECL</v>
      </c>
      <c r="L20" s="1" t="str">
        <f>CLEAN("USH 45 - DIVISION ROAD")</f>
        <v>USH 45 - DIVISION ROAD</v>
      </c>
      <c r="M20" s="1" t="str">
        <f>CLEAN("CONST/RESURF")</f>
        <v>CONST/RESURF</v>
      </c>
      <c r="N20" s="1">
        <v>9.1679999999999993</v>
      </c>
    </row>
    <row r="21" spans="1:14" x14ac:dyDescent="0.2">
      <c r="A21" s="1" t="str">
        <f>CLEAN("1150-77-71")</f>
        <v>1150-77-71</v>
      </c>
      <c r="B21" s="1" t="str">
        <f t="shared" si="2"/>
        <v>303</v>
      </c>
      <c r="C21" s="1" t="str">
        <f t="shared" si="1"/>
        <v>LET</v>
      </c>
      <c r="D21" s="2">
        <v>43862</v>
      </c>
      <c r="E21" s="1">
        <v>2020</v>
      </c>
      <c r="F21" s="1" t="str">
        <f>CLEAN("05/12/2020")</f>
        <v>05/12/2020</v>
      </c>
      <c r="G21" s="1" t="str">
        <f>CLEAN("BRPVTV")</f>
        <v>BRPVTV</v>
      </c>
      <c r="H21" s="1" t="str">
        <f>CLEAN("BROWN")</f>
        <v>BROWN</v>
      </c>
      <c r="I21" s="1" t="str">
        <f>CLEAN("IH")</f>
        <v>IH</v>
      </c>
      <c r="J21" s="1" t="str">
        <f>CLEAN("041")</f>
        <v>041</v>
      </c>
      <c r="K21" s="1" t="str">
        <f>CLEAN("NE REGION  POLYMER DECK OVERLAYS")</f>
        <v>NE REGION  POLYMER DECK OVERLAYS</v>
      </c>
      <c r="L21" s="1" t="str">
        <f>CLEAN("WINNEBAGO &amp; BROWN COUNTIES")</f>
        <v>WINNEBAGO &amp; BROWN COUNTIES</v>
      </c>
      <c r="M21" s="1" t="str">
        <f>CLEAN("VAR LOCATIONS")</f>
        <v>VAR LOCATIONS</v>
      </c>
      <c r="N21" s="1">
        <v>11.576000000000001</v>
      </c>
    </row>
    <row r="22" spans="1:14" x14ac:dyDescent="0.2">
      <c r="A22" s="1" t="str">
        <f>CLEAN("1227-08-76")</f>
        <v>1227-08-76</v>
      </c>
      <c r="B22" s="1" t="str">
        <f t="shared" si="2"/>
        <v>303</v>
      </c>
      <c r="C22" s="1" t="str">
        <f t="shared" si="1"/>
        <v>LET</v>
      </c>
      <c r="D22" s="2">
        <v>43831</v>
      </c>
      <c r="E22" s="1">
        <v>2020</v>
      </c>
      <c r="F22" s="1" t="str">
        <f>CLEAN("05/12/2020")</f>
        <v>05/12/2020</v>
      </c>
      <c r="G22" s="1" t="str">
        <f>CLEAN("BRRHB")</f>
        <v>BRRHB</v>
      </c>
      <c r="H22" s="1" t="str">
        <f>CLEAN("BROWN")</f>
        <v>BROWN</v>
      </c>
      <c r="I22" s="1" t="str">
        <f>CLEAN("IH")</f>
        <v>IH</v>
      </c>
      <c r="J22" s="1" t="str">
        <f>CLEAN("043")</f>
        <v>043</v>
      </c>
      <c r="K22" s="1" t="str">
        <f>CLEAN("MANITOWOC - GREEN BAY")</f>
        <v>MANITOWOC - GREEN BAY</v>
      </c>
      <c r="L22" s="1" t="str">
        <f>CLEAN("STH 172-ATKINSON DRIVE")</f>
        <v>STH 172-ATKINSON DRIVE</v>
      </c>
      <c r="M22" s="1" t="str">
        <f>CLEAN("STRUCTURES")</f>
        <v>STRUCTURES</v>
      </c>
      <c r="N22" s="1">
        <v>0.41599999999999998</v>
      </c>
    </row>
    <row r="23" spans="1:14" x14ac:dyDescent="0.2">
      <c r="A23" s="1" t="str">
        <f>CLEAN("1470-36-71")</f>
        <v>1470-36-71</v>
      </c>
      <c r="B23" s="1" t="str">
        <f t="shared" si="2"/>
        <v>303</v>
      </c>
      <c r="C23" s="1" t="str">
        <f t="shared" si="1"/>
        <v>LET</v>
      </c>
      <c r="D23" s="2">
        <v>43862</v>
      </c>
      <c r="E23" s="1">
        <v>2020</v>
      </c>
      <c r="F23" s="1" t="str">
        <f>CLEAN("05/12/2020")</f>
        <v>05/12/2020</v>
      </c>
      <c r="G23" s="1" t="str">
        <f>CLEAN("BRRPL")</f>
        <v>BRRPL</v>
      </c>
      <c r="H23" s="1" t="str">
        <f>CLEAN("KEWAUNEE")</f>
        <v>KEWAUNEE</v>
      </c>
      <c r="I23" s="1" t="str">
        <f>CLEAN("STH")</f>
        <v>STH</v>
      </c>
      <c r="J23" s="1" t="str">
        <f>CLEAN("042")</f>
        <v>042</v>
      </c>
      <c r="K23" s="1" t="str">
        <f>CLEAN("KEWAUNEE-STURGEON BAY")</f>
        <v>KEWAUNEE-STURGEON BAY</v>
      </c>
      <c r="L23" s="1" t="str">
        <f>CLEAN("DUVALL STREET-NCL")</f>
        <v>DUVALL STREET-NCL</v>
      </c>
      <c r="M23" s="1" t="str">
        <f>CLEAN("CONST/BRRPL")</f>
        <v>CONST/BRRPL</v>
      </c>
      <c r="N23" s="1">
        <v>0.55000000000000004</v>
      </c>
    </row>
    <row r="24" spans="1:14" x14ac:dyDescent="0.2">
      <c r="A24" s="1" t="str">
        <f>CLEAN("4010-20-71")</f>
        <v>4010-20-71</v>
      </c>
      <c r="B24" s="1" t="str">
        <f t="shared" si="2"/>
        <v>303</v>
      </c>
      <c r="C24" s="1" t="str">
        <f t="shared" si="1"/>
        <v>LET</v>
      </c>
      <c r="D24" s="2">
        <v>43862</v>
      </c>
      <c r="E24" s="1">
        <v>2020</v>
      </c>
      <c r="F24" s="1" t="str">
        <f>CLEAN("05/12/2020")</f>
        <v>05/12/2020</v>
      </c>
      <c r="G24" s="1" t="str">
        <f>CLEAN("RECST")</f>
        <v>RECST</v>
      </c>
      <c r="H24" s="1" t="str">
        <f>CLEAN("SHEBOYGAN")</f>
        <v>SHEBOYGAN</v>
      </c>
      <c r="I24" s="1" t="str">
        <f>CLEAN("STH")</f>
        <v>STH</v>
      </c>
      <c r="J24" s="1" t="str">
        <f>CLEAN("028")</f>
        <v>028</v>
      </c>
      <c r="K24" s="1" t="str">
        <f>CLEAN("SHEBOYGAN FALLS-SHEBOYGAN")</f>
        <v>SHEBOYGAN FALLS-SHEBOYGAN</v>
      </c>
      <c r="L24" s="1" t="str">
        <f>CLEAN("CTH EE INTERSECTION")</f>
        <v>CTH EE INTERSECTION</v>
      </c>
      <c r="M24" s="1" t="str">
        <f>CLEAN("DESIGN/RECST")</f>
        <v>DESIGN/RECST</v>
      </c>
      <c r="N24" s="1">
        <v>0.1</v>
      </c>
    </row>
    <row r="25" spans="1:14" x14ac:dyDescent="0.2">
      <c r="A25" s="1" t="str">
        <f>CLEAN("9160-20-60")</f>
        <v>9160-20-60</v>
      </c>
      <c r="B25" s="1" t="str">
        <f t="shared" si="2"/>
        <v>303</v>
      </c>
      <c r="C25" s="1" t="str">
        <f t="shared" si="1"/>
        <v>LET</v>
      </c>
      <c r="D25" s="2">
        <v>43862</v>
      </c>
      <c r="E25" s="1">
        <v>2021</v>
      </c>
      <c r="F25" s="1" t="str">
        <f>CLEAN("07/14/2020")</f>
        <v>07/14/2020</v>
      </c>
      <c r="G25" s="1" t="str">
        <f>CLEAN("PSRS40")</f>
        <v>PSRS40</v>
      </c>
      <c r="H25" s="1" t="str">
        <f>CLEAN("MARINETTE")</f>
        <v>MARINETTE</v>
      </c>
      <c r="I25" s="1" t="str">
        <f>CLEAN("STH")</f>
        <v>STH</v>
      </c>
      <c r="J25" s="1" t="str">
        <f>CLEAN("064")</f>
        <v>064</v>
      </c>
      <c r="K25" s="1" t="str">
        <f>CLEAN("MOUNTAIN-POUND")</f>
        <v>MOUNTAIN-POUND</v>
      </c>
      <c r="L25" s="1" t="str">
        <f>CLEAN("CTH S-USH 141")</f>
        <v>CTH S-USH 141</v>
      </c>
      <c r="M25" s="1" t="str">
        <f>CLEAN("CONST/RDMTN MILL 2 &amp; PAVE 2")</f>
        <v>CONST/RDMTN MILL 2 &amp; PAVE 2</v>
      </c>
      <c r="N25" s="1">
        <v>6.9080000000000004</v>
      </c>
    </row>
    <row r="26" spans="1:14" x14ac:dyDescent="0.2">
      <c r="A26" s="1" t="str">
        <f>CLEAN("4992-03-71")</f>
        <v>4992-03-71</v>
      </c>
      <c r="B26" s="1" t="str">
        <f t="shared" si="2"/>
        <v>303</v>
      </c>
      <c r="C26" s="1" t="str">
        <f t="shared" si="1"/>
        <v>LET</v>
      </c>
      <c r="D26" s="2">
        <v>43952</v>
      </c>
      <c r="E26" s="1">
        <v>2021</v>
      </c>
      <c r="F26" s="1" t="str">
        <f>CLEAN("08/11/2020")</f>
        <v>08/11/2020</v>
      </c>
      <c r="G26" s="1" t="str">
        <f>CLEAN("BRRPL")</f>
        <v>BRRPL</v>
      </c>
      <c r="H26" s="1" t="str">
        <f>CLEAN("WINNEBAGO")</f>
        <v>WINNEBAGO</v>
      </c>
      <c r="I26" s="1" t="str">
        <f>CLEAN("LOC")</f>
        <v>LOC</v>
      </c>
      <c r="J26" s="1" t="str">
        <f>CLEAN("STR")</f>
        <v>STR</v>
      </c>
      <c r="K26" s="1" t="str">
        <f>CLEAN("RACINE STREET BRIDGE  C OF MENASHA")</f>
        <v>RACINE STREET BRIDGE  C OF MENASHA</v>
      </c>
      <c r="L26" s="1" t="str">
        <f>CLEAN("FOX RIVER BRIDGE AND APPROACHES")</f>
        <v>FOX RIVER BRIDGE AND APPROACHES</v>
      </c>
      <c r="M26" s="1" t="str">
        <f>CLEAN("CONST/BRIDGE REPLACE 84.10 BRIDGE")</f>
        <v>CONST/BRIDGE REPLACE 84.10 BRIDGE</v>
      </c>
      <c r="N26" s="1">
        <v>0.1</v>
      </c>
    </row>
    <row r="27" spans="1:14" x14ac:dyDescent="0.2">
      <c r="A27" s="1" t="str">
        <f>CLEAN("9200-10-72")</f>
        <v>9200-10-72</v>
      </c>
      <c r="B27" s="1" t="str">
        <f t="shared" si="2"/>
        <v>303</v>
      </c>
      <c r="C27" s="1" t="str">
        <f t="shared" si="1"/>
        <v>LET</v>
      </c>
      <c r="D27" s="2">
        <v>43952</v>
      </c>
      <c r="E27" s="1">
        <v>2021</v>
      </c>
      <c r="F27" s="1" t="str">
        <f>CLEAN("08/11/2020")</f>
        <v>08/11/2020</v>
      </c>
      <c r="G27" s="1" t="str">
        <f>CLEAN("MISC")</f>
        <v>MISC</v>
      </c>
      <c r="H27" s="1" t="str">
        <f>CLEAN("BROWN")</f>
        <v>BROWN</v>
      </c>
      <c r="I27" s="1" t="str">
        <f>CLEAN("STH")</f>
        <v>STH</v>
      </c>
      <c r="J27" s="1" t="str">
        <f>CLEAN("029")</f>
        <v>029</v>
      </c>
      <c r="K27" s="1" t="str">
        <f>CLEAN("SHAWANO - GREEN BAY")</f>
        <v>SHAWANO - GREEN BAY</v>
      </c>
      <c r="L27" s="1" t="str">
        <f>CLEAN("CTH VV INTERCHANGE")</f>
        <v>CTH VV INTERCHANGE</v>
      </c>
      <c r="M27" s="1" t="str">
        <f>CLEAN("CONST FIBER/BROADBAND")</f>
        <v>CONST FIBER/BROADBAND</v>
      </c>
      <c r="N27" s="1">
        <v>0.66900000000000004</v>
      </c>
    </row>
    <row r="28" spans="1:14" x14ac:dyDescent="0.2">
      <c r="A28" s="1" t="str">
        <f>CLEAN("9200-10-71")</f>
        <v>9200-10-71</v>
      </c>
      <c r="B28" s="1" t="str">
        <f t="shared" si="2"/>
        <v>303</v>
      </c>
      <c r="C28" s="1" t="str">
        <f t="shared" si="1"/>
        <v>LET</v>
      </c>
      <c r="D28" s="2" t="str">
        <f>CLEAN("--/--/----")</f>
        <v>--/--/----</v>
      </c>
      <c r="E28" s="1">
        <v>2021</v>
      </c>
      <c r="F28" s="1" t="str">
        <f>CLEAN("08/11/2020")</f>
        <v>08/11/2020</v>
      </c>
      <c r="G28" s="1" t="str">
        <f>CLEAN("RECST")</f>
        <v>RECST</v>
      </c>
      <c r="H28" s="1" t="str">
        <f>CLEAN("BROWN")</f>
        <v>BROWN</v>
      </c>
      <c r="I28" s="1" t="str">
        <f>CLEAN("STH")</f>
        <v>STH</v>
      </c>
      <c r="J28" s="1" t="str">
        <f>CLEAN("029")</f>
        <v>029</v>
      </c>
      <c r="K28" s="1" t="str">
        <f>CLEAN("SHAWANO - GREEN BAY")</f>
        <v>SHAWANO - GREEN BAY</v>
      </c>
      <c r="L28" s="1" t="str">
        <f>CLEAN("CTH VV INTERCHANGE")</f>
        <v>CTH VV INTERCHANGE</v>
      </c>
      <c r="M28" s="1" t="str">
        <f>CLEAN("CONST GRADE BASE PVT")</f>
        <v>CONST GRADE BASE PVT</v>
      </c>
      <c r="N28" s="1">
        <v>0.64300000000000002</v>
      </c>
    </row>
    <row r="29" spans="1:14" x14ac:dyDescent="0.2">
      <c r="A29" s="1" t="str">
        <f>CLEAN("9190-23-71")</f>
        <v>9190-23-71</v>
      </c>
      <c r="B29" s="1" t="str">
        <f t="shared" si="2"/>
        <v>303</v>
      </c>
      <c r="C29" s="1" t="str">
        <f t="shared" si="1"/>
        <v>LET</v>
      </c>
      <c r="D29" s="2">
        <v>43770</v>
      </c>
      <c r="E29" s="1">
        <v>2021</v>
      </c>
      <c r="F29" s="1" t="str">
        <f>CLEAN("09/08/2020")</f>
        <v>09/08/2020</v>
      </c>
      <c r="G29" s="1" t="str">
        <f>CLEAN("COLD20")</f>
        <v>COLD20</v>
      </c>
      <c r="H29" s="1" t="str">
        <f>CLEAN("BROWN")</f>
        <v>BROWN</v>
      </c>
      <c r="I29" s="1" t="str">
        <f>CLEAN("STH")</f>
        <v>STH</v>
      </c>
      <c r="J29" s="1" t="str">
        <f>CLEAN("032")</f>
        <v>032</v>
      </c>
      <c r="K29" s="1" t="str">
        <f>CLEAN("GREEN BAY-PULASKI")</f>
        <v>GREEN BAY-PULASKI</v>
      </c>
      <c r="L29" s="1" t="str">
        <f>CLEAN("STH29-VILLAGE OF PULASKI")</f>
        <v>STH29-VILLAGE OF PULASKI</v>
      </c>
      <c r="M29" s="1" t="str">
        <f>CLEAN("COLD20")</f>
        <v>COLD20</v>
      </c>
      <c r="N29" s="1">
        <v>3.99</v>
      </c>
    </row>
    <row r="30" spans="1:14" x14ac:dyDescent="0.2">
      <c r="A30" s="1" t="str">
        <f>CLEAN("9170-18-60")</f>
        <v>9170-18-60</v>
      </c>
      <c r="B30" s="1" t="str">
        <f t="shared" si="2"/>
        <v>303</v>
      </c>
      <c r="C30" s="1" t="str">
        <f t="shared" si="1"/>
        <v>LET</v>
      </c>
      <c r="D30" s="2">
        <v>43770</v>
      </c>
      <c r="E30" s="1">
        <v>2021</v>
      </c>
      <c r="F30" s="1" t="str">
        <f>CLEAN("09/08/2020")</f>
        <v>09/08/2020</v>
      </c>
      <c r="G30" s="1" t="str">
        <f>CLEAN("PSRS40")</f>
        <v>PSRS40</v>
      </c>
      <c r="H30" s="1" t="str">
        <f>CLEAN("OCONTO")</f>
        <v>OCONTO</v>
      </c>
      <c r="I30" s="1" t="str">
        <f>CLEAN("STH")</f>
        <v>STH</v>
      </c>
      <c r="J30" s="1" t="str">
        <f>CLEAN("032")</f>
        <v>032</v>
      </c>
      <c r="K30" s="1" t="str">
        <f>CLEAN("GILLETT-SURING")</f>
        <v>GILLETT-SURING</v>
      </c>
      <c r="L30" s="1" t="str">
        <f>CLEAN("STH 22-TRINITY CHURCH RD")</f>
        <v>STH 22-TRINITY CHURCH RD</v>
      </c>
      <c r="M30" s="1" t="str">
        <f>CLEAN("CONST/PSRS40")</f>
        <v>CONST/PSRS40</v>
      </c>
      <c r="N30" s="1">
        <v>7.0380000000000003</v>
      </c>
    </row>
    <row r="31" spans="1:14" x14ac:dyDescent="0.2">
      <c r="A31" s="1" t="str">
        <f>CLEAN("9190-20-71")</f>
        <v>9190-20-71</v>
      </c>
      <c r="B31" s="1" t="str">
        <f t="shared" si="2"/>
        <v>303</v>
      </c>
      <c r="C31" s="1" t="str">
        <f t="shared" si="1"/>
        <v>LET</v>
      </c>
      <c r="D31" s="2">
        <v>43770</v>
      </c>
      <c r="E31" s="1">
        <v>2021</v>
      </c>
      <c r="F31" s="1" t="str">
        <f>CLEAN("09/08/2020")</f>
        <v>09/08/2020</v>
      </c>
      <c r="G31" s="1" t="str">
        <f>CLEAN("RSRF30")</f>
        <v>RSRF30</v>
      </c>
      <c r="H31" s="1" t="str">
        <f>CLEAN("BROWN")</f>
        <v>BROWN</v>
      </c>
      <c r="I31" s="1" t="str">
        <f>CLEAN("STH")</f>
        <v>STH</v>
      </c>
      <c r="J31" s="1" t="str">
        <f>CLEAN("032")</f>
        <v>032</v>
      </c>
      <c r="K31" s="1" t="str">
        <f>CLEAN("VILLAGE OF PULASKI")</f>
        <v>VILLAGE OF PULASKI</v>
      </c>
      <c r="L31" s="1" t="str">
        <f>CLEAN("CTH B - EAST GREEN BAY STREET")</f>
        <v>CTH B - EAST GREEN BAY STREET</v>
      </c>
      <c r="M31" s="1" t="str">
        <f>CLEAN("R/W-YES")</f>
        <v>R/W-YES</v>
      </c>
      <c r="N31" s="1">
        <v>0.94</v>
      </c>
    </row>
    <row r="32" spans="1:14" x14ac:dyDescent="0.2">
      <c r="A32" s="1" t="str">
        <f>CLEAN("1225-10-71")</f>
        <v>1225-10-71</v>
      </c>
      <c r="B32" s="1" t="str">
        <f t="shared" si="2"/>
        <v>303</v>
      </c>
      <c r="C32" s="1" t="str">
        <f t="shared" si="1"/>
        <v>LET</v>
      </c>
      <c r="D32" s="2">
        <v>44044</v>
      </c>
      <c r="E32" s="1">
        <v>2021</v>
      </c>
      <c r="F32" s="1" t="str">
        <f t="shared" ref="F32:F39" si="3">CLEAN("11/10/2020")</f>
        <v>11/10/2020</v>
      </c>
      <c r="G32" s="1" t="str">
        <f>CLEAN("BRRHB")</f>
        <v>BRRHB</v>
      </c>
      <c r="H32" s="1" t="str">
        <f>CLEAN("MANITOWOC")</f>
        <v>MANITOWOC</v>
      </c>
      <c r="I32" s="1" t="str">
        <f>CLEAN("IH")</f>
        <v>IH</v>
      </c>
      <c r="J32" s="1" t="str">
        <f>CLEAN("043")</f>
        <v>043</v>
      </c>
      <c r="K32" s="1" t="str">
        <f>CLEAN("MANITOWOC - GREEN BAY")</f>
        <v>MANITOWOC - GREEN BAY</v>
      </c>
      <c r="L32" s="1" t="str">
        <f>CLEAN("SCL - NCL")</f>
        <v>SCL - NCL</v>
      </c>
      <c r="M32" s="1" t="str">
        <f>CLEAN("BRRHB")</f>
        <v>BRRHB</v>
      </c>
      <c r="N32" s="1">
        <v>1.415</v>
      </c>
    </row>
    <row r="33" spans="1:14" x14ac:dyDescent="0.2">
      <c r="A33" s="1" t="str">
        <f>CLEAN("3360-16-60")</f>
        <v>3360-16-60</v>
      </c>
      <c r="B33" s="1" t="str">
        <f t="shared" si="2"/>
        <v>303</v>
      </c>
      <c r="C33" s="1" t="str">
        <f t="shared" si="1"/>
        <v>LET</v>
      </c>
      <c r="D33" s="2">
        <v>44044</v>
      </c>
      <c r="E33" s="1">
        <v>2021</v>
      </c>
      <c r="F33" s="1" t="str">
        <f t="shared" si="3"/>
        <v>11/10/2020</v>
      </c>
      <c r="G33" s="1" t="str">
        <f>CLEAN("PSRS40")</f>
        <v>PSRS40</v>
      </c>
      <c r="H33" s="1" t="str">
        <f>CLEAN("FOND DU LAC")</f>
        <v>FOND DU LAC</v>
      </c>
      <c r="I33" s="1" t="str">
        <f t="shared" ref="I33:I39" si="4">CLEAN("STH")</f>
        <v>STH</v>
      </c>
      <c r="J33" s="1" t="str">
        <f>CLEAN("175")</f>
        <v>175</v>
      </c>
      <c r="K33" s="1" t="str">
        <f>CLEAN("LOMIRA-FOND DU LAC")</f>
        <v>LOMIRA-FOND DU LAC</v>
      </c>
      <c r="L33" s="1" t="str">
        <f>CLEAN("SCL-USH 151")</f>
        <v>SCL-USH 151</v>
      </c>
      <c r="M33" s="1" t="str">
        <f>CLEAN("R/W-NO")</f>
        <v>R/W-NO</v>
      </c>
      <c r="N33" s="1">
        <v>7.085</v>
      </c>
    </row>
    <row r="34" spans="1:14" x14ac:dyDescent="0.2">
      <c r="A34" s="1" t="str">
        <f>CLEAN("6090-08-71")</f>
        <v>6090-08-71</v>
      </c>
      <c r="B34" s="1" t="str">
        <f t="shared" si="2"/>
        <v>303</v>
      </c>
      <c r="C34" s="1" t="str">
        <f t="shared" ref="C34:C65" si="5">CLEAN("LET")</f>
        <v>LET</v>
      </c>
      <c r="D34" s="2">
        <v>43586</v>
      </c>
      <c r="E34" s="1">
        <v>2021</v>
      </c>
      <c r="F34" s="1" t="str">
        <f t="shared" si="3"/>
        <v>11/10/2020</v>
      </c>
      <c r="G34" s="1" t="str">
        <f>CLEAN("PSRS40")</f>
        <v>PSRS40</v>
      </c>
      <c r="H34" s="1" t="str">
        <f>CLEAN("FOND DU LAC")</f>
        <v>FOND DU LAC</v>
      </c>
      <c r="I34" s="1" t="str">
        <f t="shared" si="4"/>
        <v>STH</v>
      </c>
      <c r="J34" s="1" t="str">
        <f>CLEAN("049")</f>
        <v>049</v>
      </c>
      <c r="K34" s="1" t="str">
        <f>CLEAN("VILLAGE OF BRANDON")</f>
        <v>VILLAGE OF BRANDON</v>
      </c>
      <c r="L34" s="1" t="str">
        <f>CLEAN("CTH TC - WCPL")</f>
        <v>CTH TC - WCPL</v>
      </c>
      <c r="M34" s="1" t="str">
        <f>CLEAN("CONST/PSRS40")</f>
        <v>CONST/PSRS40</v>
      </c>
      <c r="N34" s="1">
        <v>0.96</v>
      </c>
    </row>
    <row r="35" spans="1:14" x14ac:dyDescent="0.2">
      <c r="A35" s="1" t="str">
        <f>CLEAN("9180-31-60")</f>
        <v>9180-31-60</v>
      </c>
      <c r="B35" s="1" t="str">
        <f t="shared" si="2"/>
        <v>303</v>
      </c>
      <c r="C35" s="1" t="str">
        <f t="shared" si="5"/>
        <v>LET</v>
      </c>
      <c r="D35" s="2">
        <v>43678</v>
      </c>
      <c r="E35" s="1">
        <v>2021</v>
      </c>
      <c r="F35" s="1" t="str">
        <f t="shared" si="3"/>
        <v>11/10/2020</v>
      </c>
      <c r="G35" s="1" t="str">
        <f>CLEAN("PSRS40")</f>
        <v>PSRS40</v>
      </c>
      <c r="H35" s="1" t="str">
        <f>CLEAN("OCONTO")</f>
        <v>OCONTO</v>
      </c>
      <c r="I35" s="1" t="str">
        <f t="shared" si="4"/>
        <v>STH</v>
      </c>
      <c r="J35" s="1" t="str">
        <f>CLEAN("022")</f>
        <v>022</v>
      </c>
      <c r="K35" s="1" t="str">
        <f>CLEAN("OCONTO FALLS-OCONTO")</f>
        <v>OCONTO FALLS-OCONTO</v>
      </c>
      <c r="L35" s="1" t="str">
        <f>CLEAN("USH 141-USH 41")</f>
        <v>USH 141-USH 41</v>
      </c>
      <c r="M35" s="1" t="str">
        <f>CLEAN("CONST/RDMTN MILL 2 PAVE 2")</f>
        <v>CONST/RDMTN MILL 2 PAVE 2</v>
      </c>
      <c r="N35" s="1">
        <v>6.7069999999999999</v>
      </c>
    </row>
    <row r="36" spans="1:14" x14ac:dyDescent="0.2">
      <c r="A36" s="1" t="str">
        <f>CLEAN("4150-25-60")</f>
        <v>4150-25-60</v>
      </c>
      <c r="B36" s="1" t="str">
        <f t="shared" si="2"/>
        <v>303</v>
      </c>
      <c r="C36" s="1" t="str">
        <f t="shared" si="5"/>
        <v>LET</v>
      </c>
      <c r="D36" s="2">
        <v>44044</v>
      </c>
      <c r="E36" s="1">
        <v>2021</v>
      </c>
      <c r="F36" s="1" t="str">
        <f t="shared" si="3"/>
        <v>11/10/2020</v>
      </c>
      <c r="G36" s="1" t="str">
        <f>CLEAN("RSRF20")</f>
        <v>RSRF20</v>
      </c>
      <c r="H36" s="1" t="str">
        <f>CLEAN("DOOR")</f>
        <v>DOOR</v>
      </c>
      <c r="I36" s="1" t="str">
        <f t="shared" si="4"/>
        <v>STH</v>
      </c>
      <c r="J36" s="1" t="str">
        <f>CLEAN("057")</f>
        <v>057</v>
      </c>
      <c r="K36" s="1" t="str">
        <f>CLEAN("MID JUNCTION - BAILEYS HARBOR")</f>
        <v>MID JUNCTION - BAILEYS HARBOR</v>
      </c>
      <c r="L36" s="1" t="str">
        <f>CLEAN("STH 42-SUMMIT ROAD")</f>
        <v>STH 42-SUMMIT ROAD</v>
      </c>
      <c r="M36" s="1" t="str">
        <f>CLEAN("COSNTRUCT/RESURFACE LEVEL IMPROVE")</f>
        <v>COSNTRUCT/RESURFACE LEVEL IMPROVE</v>
      </c>
      <c r="N36" s="1">
        <v>17.55</v>
      </c>
    </row>
    <row r="37" spans="1:14" x14ac:dyDescent="0.2">
      <c r="A37" s="1" t="str">
        <f>CLEAN("4550-03-71")</f>
        <v>4550-03-71</v>
      </c>
      <c r="B37" s="1" t="str">
        <f t="shared" si="2"/>
        <v>303</v>
      </c>
      <c r="C37" s="1" t="str">
        <f t="shared" si="5"/>
        <v>LET</v>
      </c>
      <c r="D37" s="2">
        <v>43586</v>
      </c>
      <c r="E37" s="1">
        <v>2021</v>
      </c>
      <c r="F37" s="1" t="str">
        <f t="shared" si="3"/>
        <v>11/10/2020</v>
      </c>
      <c r="G37" s="1" t="str">
        <f>CLEAN("RSRF20")</f>
        <v>RSRF20</v>
      </c>
      <c r="H37" s="1" t="str">
        <f>CLEAN("MANITOWOC")</f>
        <v>MANITOWOC</v>
      </c>
      <c r="I37" s="1" t="str">
        <f t="shared" si="4"/>
        <v>STH</v>
      </c>
      <c r="J37" s="1" t="str">
        <f>CLEAN("067")</f>
        <v>067</v>
      </c>
      <c r="K37" s="1" t="str">
        <f>CLEAN("ELKHART LAKE-KIEL")</f>
        <v>ELKHART LAKE-KIEL</v>
      </c>
      <c r="L37" s="1" t="str">
        <f>CLEAN("SOUTH COUNTY LINE-STH 32/57")</f>
        <v>SOUTH COUNTY LINE-STH 32/57</v>
      </c>
      <c r="M37" s="1" t="str">
        <f>CLEAN("STH 67")</f>
        <v>STH 67</v>
      </c>
      <c r="N37" s="1">
        <v>1.23</v>
      </c>
    </row>
    <row r="38" spans="1:14" x14ac:dyDescent="0.2">
      <c r="A38" s="1" t="str">
        <f>CLEAN("4550-04-71")</f>
        <v>4550-04-71</v>
      </c>
      <c r="B38" s="1" t="str">
        <f t="shared" si="2"/>
        <v>303</v>
      </c>
      <c r="C38" s="1" t="str">
        <f t="shared" si="5"/>
        <v>LET</v>
      </c>
      <c r="D38" s="2">
        <v>43586</v>
      </c>
      <c r="E38" s="1">
        <v>2021</v>
      </c>
      <c r="F38" s="1" t="str">
        <f t="shared" si="3"/>
        <v>11/10/2020</v>
      </c>
      <c r="G38" s="1" t="str">
        <f>CLEAN("RSRF20")</f>
        <v>RSRF20</v>
      </c>
      <c r="H38" s="1" t="str">
        <f>CLEAN("SHEBOYGAN")</f>
        <v>SHEBOYGAN</v>
      </c>
      <c r="I38" s="1" t="str">
        <f t="shared" si="4"/>
        <v>STH</v>
      </c>
      <c r="J38" s="1" t="str">
        <f>CLEAN("067")</f>
        <v>067</v>
      </c>
      <c r="K38" s="1" t="str">
        <f>CLEAN("PLYMOUTH-KIEL")</f>
        <v>PLYMOUTH-KIEL</v>
      </c>
      <c r="L38" s="1" t="str">
        <f>CLEAN("SUHRKE ROAD-NCL")</f>
        <v>SUHRKE ROAD-NCL</v>
      </c>
      <c r="M38" s="1" t="str">
        <f>CLEAN("CONST/RESURF")</f>
        <v>CONST/RESURF</v>
      </c>
      <c r="N38" s="1">
        <v>10.32</v>
      </c>
    </row>
    <row r="39" spans="1:14" x14ac:dyDescent="0.2">
      <c r="A39" s="1" t="str">
        <f>CLEAN("6570-08-73")</f>
        <v>6570-08-73</v>
      </c>
      <c r="B39" s="1" t="str">
        <f t="shared" si="2"/>
        <v>303</v>
      </c>
      <c r="C39" s="1" t="str">
        <f t="shared" si="5"/>
        <v>LET</v>
      </c>
      <c r="D39" s="2">
        <v>44044</v>
      </c>
      <c r="E39" s="1">
        <v>2021</v>
      </c>
      <c r="F39" s="1" t="str">
        <f t="shared" si="3"/>
        <v>11/10/2020</v>
      </c>
      <c r="G39" s="1" t="str">
        <f>CLEAN("RSRF30")</f>
        <v>RSRF30</v>
      </c>
      <c r="H39" s="1" t="str">
        <f>CLEAN("OUTAGAMIE")</f>
        <v>OUTAGAMIE</v>
      </c>
      <c r="I39" s="1" t="str">
        <f t="shared" si="4"/>
        <v>STH</v>
      </c>
      <c r="J39" s="1" t="str">
        <f>CLEAN("055")</f>
        <v>055</v>
      </c>
      <c r="K39" s="1" t="str">
        <f>CLEAN("SEYMOUR - ANGELICA")</f>
        <v>SEYMOUR - ANGELICA</v>
      </c>
      <c r="L39" s="1" t="str">
        <f>CLEAN("STH 54-LAKE ROAD")</f>
        <v>STH 54-LAKE ROAD</v>
      </c>
      <c r="M39" s="1" t="str">
        <f>CLEAN("CONST/ RESURF R/W - YES")</f>
        <v>CONST/ RESURF R/W - YES</v>
      </c>
      <c r="N39" s="1">
        <v>1.49</v>
      </c>
    </row>
    <row r="40" spans="1:14" x14ac:dyDescent="0.2">
      <c r="A40" s="1" t="str">
        <f>CLEAN("1150-72-71")</f>
        <v>1150-72-71</v>
      </c>
      <c r="B40" s="1" t="str">
        <f t="shared" si="2"/>
        <v>303</v>
      </c>
      <c r="C40" s="1" t="str">
        <f t="shared" si="5"/>
        <v>LET</v>
      </c>
      <c r="D40" s="2">
        <v>44044</v>
      </c>
      <c r="E40" s="1">
        <v>2021</v>
      </c>
      <c r="F40" s="1" t="str">
        <f>CLEAN("12/08/2020")</f>
        <v>12/08/2020</v>
      </c>
      <c r="G40" s="1" t="str">
        <f>CLEAN("MISC")</f>
        <v>MISC</v>
      </c>
      <c r="H40" s="1" t="str">
        <f>CLEAN("MARINETTE")</f>
        <v>MARINETTE</v>
      </c>
      <c r="I40" s="1" t="str">
        <f>CLEAN("USH")</f>
        <v>USH</v>
      </c>
      <c r="J40" s="1" t="str">
        <f>CLEAN("041")</f>
        <v>041</v>
      </c>
      <c r="K40" s="1" t="str">
        <f>CLEAN("PESHTIGO - MARINETTE")</f>
        <v>PESHTIGO - MARINETTE</v>
      </c>
      <c r="L40" s="1" t="str">
        <f>CLEAN("COUNTRY MEADOWS RD INTERSECTION")</f>
        <v>COUNTRY MEADOWS RD INTERSECTION</v>
      </c>
      <c r="M40" s="1" t="str">
        <f>CLEAN("CONST/MISC HSIP 1A")</f>
        <v>CONST/MISC HSIP 1A</v>
      </c>
      <c r="N40" s="1">
        <v>1.0999999999999999E-2</v>
      </c>
    </row>
    <row r="41" spans="1:14" x14ac:dyDescent="0.2">
      <c r="A41" s="1" t="str">
        <f>CLEAN("4100-39-60")</f>
        <v>4100-39-60</v>
      </c>
      <c r="B41" s="1" t="str">
        <f t="shared" si="2"/>
        <v>303</v>
      </c>
      <c r="C41" s="1" t="str">
        <f t="shared" si="5"/>
        <v>LET</v>
      </c>
      <c r="D41" s="2">
        <v>44044</v>
      </c>
      <c r="E41" s="1">
        <v>2021</v>
      </c>
      <c r="F41" s="1" t="str">
        <f>CLEAN("12/08/2020")</f>
        <v>12/08/2020</v>
      </c>
      <c r="G41" s="1" t="str">
        <f>CLEAN("PSRS40")</f>
        <v>PSRS40</v>
      </c>
      <c r="H41" s="1" t="str">
        <f>CLEAN("MANITOWOC")</f>
        <v>MANITOWOC</v>
      </c>
      <c r="I41" s="1" t="str">
        <f>CLEAN("USH")</f>
        <v>USH</v>
      </c>
      <c r="J41" s="1" t="str">
        <f>CLEAN("151")</f>
        <v>151</v>
      </c>
      <c r="K41" s="1" t="str">
        <f>CLEAN("CHILTON-VALDERS")</f>
        <v>CHILTON-VALDERS</v>
      </c>
      <c r="L41" s="1" t="str">
        <f>CLEAN("STH 67 - ROOSEVELT STREET")</f>
        <v>STH 67 - ROOSEVELT STREET</v>
      </c>
      <c r="M41" s="1" t="str">
        <f>CLEAN("CONST/RESURF-MILL/OVERLAY")</f>
        <v>CONST/RESURF-MILL/OVERLAY</v>
      </c>
      <c r="N41" s="1">
        <v>7.28</v>
      </c>
    </row>
    <row r="42" spans="1:14" x14ac:dyDescent="0.2">
      <c r="A42" s="1" t="str">
        <f>CLEAN("4090-06-71")</f>
        <v>4090-06-71</v>
      </c>
      <c r="B42" s="1" t="str">
        <f t="shared" si="2"/>
        <v>303</v>
      </c>
      <c r="C42" s="1" t="str">
        <f t="shared" si="5"/>
        <v>LET</v>
      </c>
      <c r="D42" s="2">
        <v>44044</v>
      </c>
      <c r="E42" s="1">
        <v>2021</v>
      </c>
      <c r="F42" s="1" t="str">
        <f>CLEAN("12/08/2020")</f>
        <v>12/08/2020</v>
      </c>
      <c r="G42" s="1" t="str">
        <f>CLEAN("RECST")</f>
        <v>RECST</v>
      </c>
      <c r="H42" s="1" t="str">
        <f>CLEAN("FOND DU LAC")</f>
        <v>FOND DU LAC</v>
      </c>
      <c r="I42" s="1" t="str">
        <f>CLEAN("STH")</f>
        <v>STH</v>
      </c>
      <c r="J42" s="1" t="str">
        <f>CLEAN("067")</f>
        <v>067</v>
      </c>
      <c r="K42" s="1" t="str">
        <f>CLEAN("VILLAGE OF CAMPBELLSPORT")</f>
        <v>VILLAGE OF CAMPBELLSPORT</v>
      </c>
      <c r="L42" s="1" t="str">
        <f>CLEAN("BAUMANN STREET-TRIPLE S ROAD")</f>
        <v>BAUMANN STREET-TRIPLE S ROAD</v>
      </c>
      <c r="M42" s="1" t="str">
        <f>CLEAN("CONST/RECST URBAN")</f>
        <v>CONST/RECST URBAN</v>
      </c>
      <c r="N42" s="1">
        <v>1.98</v>
      </c>
    </row>
    <row r="43" spans="1:14" x14ac:dyDescent="0.2">
      <c r="A43" s="1" t="str">
        <f>CLEAN("4090-06-72")</f>
        <v>4090-06-72</v>
      </c>
      <c r="B43" s="1" t="str">
        <f t="shared" si="2"/>
        <v>303</v>
      </c>
      <c r="C43" s="1" t="str">
        <f t="shared" si="5"/>
        <v>LET</v>
      </c>
      <c r="D43" s="2">
        <v>44044</v>
      </c>
      <c r="E43" s="1">
        <v>2021</v>
      </c>
      <c r="F43" s="1" t="str">
        <f>CLEAN("12/08/2020")</f>
        <v>12/08/2020</v>
      </c>
      <c r="G43" s="1" t="str">
        <f>CLEAN("RECST")</f>
        <v>RECST</v>
      </c>
      <c r="H43" s="1" t="str">
        <f>CLEAN("FOND DU LAC")</f>
        <v>FOND DU LAC</v>
      </c>
      <c r="I43" s="1" t="str">
        <f>CLEAN("STH")</f>
        <v>STH</v>
      </c>
      <c r="J43" s="1" t="str">
        <f>CLEAN("067")</f>
        <v>067</v>
      </c>
      <c r="K43" s="1" t="str">
        <f>CLEAN("VILLAGE OF CAMPELLSPORT")</f>
        <v>VILLAGE OF CAMPELLSPORT</v>
      </c>
      <c r="L43" s="1" t="str">
        <f>CLEAN("BAUMAN STREET-TRIPLE S ROAD")</f>
        <v>BAUMAN STREET-TRIPLE S ROAD</v>
      </c>
      <c r="M43" s="1" t="str">
        <f>CLEAN("R/W-NO")</f>
        <v>R/W-NO</v>
      </c>
      <c r="N43" s="1">
        <v>0</v>
      </c>
    </row>
    <row r="44" spans="1:14" x14ac:dyDescent="0.2">
      <c r="A44" s="1" t="str">
        <f>CLEAN("1221-18-71")</f>
        <v>1221-18-71</v>
      </c>
      <c r="B44" s="1" t="str">
        <f t="shared" si="2"/>
        <v>303</v>
      </c>
      <c r="C44" s="1" t="str">
        <f t="shared" si="5"/>
        <v>LET</v>
      </c>
      <c r="D44" s="2">
        <v>44044</v>
      </c>
      <c r="E44" s="1">
        <v>2021</v>
      </c>
      <c r="F44" s="1" t="str">
        <f>CLEAN("01/12/2021")</f>
        <v>01/12/2021</v>
      </c>
      <c r="G44" s="1" t="str">
        <f>CLEAN("MISC")</f>
        <v>MISC</v>
      </c>
      <c r="H44" s="1" t="str">
        <f>CLEAN("SHEBOYGAN")</f>
        <v>SHEBOYGAN</v>
      </c>
      <c r="I44" s="1" t="str">
        <f>CLEAN("IH")</f>
        <v>IH</v>
      </c>
      <c r="J44" s="1" t="str">
        <f>CLEAN("043")</f>
        <v>043</v>
      </c>
      <c r="K44" s="1" t="str">
        <f>CLEAN("PORT WASHINGTON - SHEBOYGAN")</f>
        <v>PORT WASHINGTON - SHEBOYGAN</v>
      </c>
      <c r="L44" s="1" t="str">
        <f>CLEAN("CTH V - CTH EE")</f>
        <v>CTH V - CTH EE</v>
      </c>
      <c r="M44" s="1" t="str">
        <f>CLEAN("HSIP MEDIAN CABLE GUARD")</f>
        <v>HSIP MEDIAN CABLE GUARD</v>
      </c>
      <c r="N44" s="1">
        <v>1.95</v>
      </c>
    </row>
    <row r="45" spans="1:14" x14ac:dyDescent="0.2">
      <c r="A45" s="1" t="str">
        <f>CLEAN("1225-09-71")</f>
        <v>1225-09-71</v>
      </c>
      <c r="B45" s="1" t="str">
        <f t="shared" si="2"/>
        <v>303</v>
      </c>
      <c r="C45" s="1" t="str">
        <f t="shared" si="5"/>
        <v>LET</v>
      </c>
      <c r="D45" s="2">
        <v>44044</v>
      </c>
      <c r="E45" s="1">
        <v>2021</v>
      </c>
      <c r="F45" s="1" t="str">
        <f>CLEAN("01/12/2021")</f>
        <v>01/12/2021</v>
      </c>
      <c r="G45" s="1" t="str">
        <f>CLEAN("MISC")</f>
        <v>MISC</v>
      </c>
      <c r="H45" s="1" t="str">
        <f>CLEAN("MANITOWOC")</f>
        <v>MANITOWOC</v>
      </c>
      <c r="I45" s="1" t="str">
        <f>CLEAN("IH")</f>
        <v>IH</v>
      </c>
      <c r="J45" s="1" t="str">
        <f>CLEAN("043")</f>
        <v>043</v>
      </c>
      <c r="K45" s="1" t="str">
        <f>CLEAN("MANITOWOC - GREEN BAY")</f>
        <v>MANITOWOC - GREEN BAY</v>
      </c>
      <c r="L45" s="1" t="str">
        <f>CLEAN("POLIFKA ROAD - FISHERVILLE ROAD")</f>
        <v>POLIFKA ROAD - FISHERVILLE ROAD</v>
      </c>
      <c r="M45" s="1" t="str">
        <f>CLEAN("MEDIAN BARRIER CABLE GUARD")</f>
        <v>MEDIAN BARRIER CABLE GUARD</v>
      </c>
      <c r="N45" s="1">
        <v>1.43</v>
      </c>
    </row>
    <row r="46" spans="1:14" x14ac:dyDescent="0.2">
      <c r="A46" s="1" t="str">
        <f>CLEAN("4540-27-71")</f>
        <v>4540-27-71</v>
      </c>
      <c r="B46" s="1" t="str">
        <f t="shared" si="2"/>
        <v>303</v>
      </c>
      <c r="C46" s="1" t="str">
        <f t="shared" si="5"/>
        <v>LET</v>
      </c>
      <c r="D46" s="2">
        <v>43678</v>
      </c>
      <c r="E46" s="1">
        <v>2021</v>
      </c>
      <c r="F46" s="1" t="str">
        <f>CLEAN("01/12/2021")</f>
        <v>01/12/2021</v>
      </c>
      <c r="G46" s="1" t="str">
        <f>CLEAN("RSRF20")</f>
        <v>RSRF20</v>
      </c>
      <c r="H46" s="1" t="str">
        <f>CLEAN("SHEBOYGAN")</f>
        <v>SHEBOYGAN</v>
      </c>
      <c r="I46" s="1" t="str">
        <f>CLEAN("STH")</f>
        <v>STH</v>
      </c>
      <c r="J46" s="1" t="str">
        <f>CLEAN("032")</f>
        <v>032</v>
      </c>
      <c r="K46" s="1" t="str">
        <f>CLEAN("PORT WASHINGTON-CEDAR GROVE")</f>
        <v>PORT WASHINGTON-CEDAR GROVE</v>
      </c>
      <c r="L46" s="1" t="str">
        <f>CLEAN("IH 43-CTH D")</f>
        <v>IH 43-CTH D</v>
      </c>
      <c r="M46" s="1" t="str">
        <f>CLEAN("CONST/RESURFACE IMPROVEMENT")</f>
        <v>CONST/RESURFACE IMPROVEMENT</v>
      </c>
      <c r="N46" s="1">
        <v>1.02</v>
      </c>
    </row>
    <row r="47" spans="1:14" x14ac:dyDescent="0.2">
      <c r="A47" s="1" t="str">
        <f>CLEAN("1221-09-71")</f>
        <v>1221-09-71</v>
      </c>
      <c r="B47" s="1" t="str">
        <f t="shared" si="2"/>
        <v>303</v>
      </c>
      <c r="C47" s="1" t="str">
        <f t="shared" si="5"/>
        <v>LET</v>
      </c>
      <c r="D47" s="2">
        <v>43678</v>
      </c>
      <c r="E47" s="1">
        <v>2021</v>
      </c>
      <c r="F47" s="1" t="str">
        <f>CLEAN("01/12/2021")</f>
        <v>01/12/2021</v>
      </c>
      <c r="G47" s="1" t="str">
        <f>CLEAN("RSRF30")</f>
        <v>RSRF30</v>
      </c>
      <c r="H47" s="1" t="str">
        <f>CLEAN("SHEBOYGAN")</f>
        <v>SHEBOYGAN</v>
      </c>
      <c r="I47" s="1" t="str">
        <f>CLEAN("IH")</f>
        <v>IH</v>
      </c>
      <c r="J47" s="1" t="str">
        <f>CLEAN("043")</f>
        <v>043</v>
      </c>
      <c r="K47" s="1" t="str">
        <f>CLEAN("MILWAUKEE - GREEN BAY RD")</f>
        <v>MILWAUKEE - GREEN BAY RD</v>
      </c>
      <c r="L47" s="1" t="str">
        <f>CLEAN("SCL - WILSON/LIMA RD")</f>
        <v>SCL - WILSON/LIMA RD</v>
      </c>
      <c r="M47" s="1" t="str">
        <f>CLEAN("R/W - NO")</f>
        <v>R/W - NO</v>
      </c>
      <c r="N47" s="1">
        <v>7.42</v>
      </c>
    </row>
    <row r="48" spans="1:14" x14ac:dyDescent="0.2">
      <c r="A48" s="1" t="str">
        <f>CLEAN("1470-25-71")</f>
        <v>1470-25-71</v>
      </c>
      <c r="B48" s="1" t="str">
        <f t="shared" si="2"/>
        <v>303</v>
      </c>
      <c r="C48" s="1" t="str">
        <f t="shared" si="5"/>
        <v>LET</v>
      </c>
      <c r="D48" s="2">
        <v>43862</v>
      </c>
      <c r="E48" s="1">
        <v>2021</v>
      </c>
      <c r="F48" s="1" t="str">
        <f>CLEAN("01/12/2021")</f>
        <v>01/12/2021</v>
      </c>
      <c r="G48" s="1" t="str">
        <f>CLEAN("RSRF30")</f>
        <v>RSRF30</v>
      </c>
      <c r="H48" s="1" t="str">
        <f>CLEAN("KEWAUNEE")</f>
        <v>KEWAUNEE</v>
      </c>
      <c r="I48" s="1" t="str">
        <f>CLEAN("STH")</f>
        <v>STH</v>
      </c>
      <c r="J48" s="1" t="str">
        <f>CLEAN("042")</f>
        <v>042</v>
      </c>
      <c r="K48" s="1" t="str">
        <f>CLEAN("SCL-KEWAUNEE")</f>
        <v>SCL-KEWAUNEE</v>
      </c>
      <c r="L48" s="1" t="str">
        <f>CLEAN("SCL-SOUTH CITY LIMITS KEWAUNEE")</f>
        <v>SCL-SOUTH CITY LIMITS KEWAUNEE</v>
      </c>
      <c r="M48" s="1" t="str">
        <f>CLEAN("CONST/RESURF")</f>
        <v>CONST/RESURF</v>
      </c>
      <c r="N48" s="1">
        <v>9.4499999999999993</v>
      </c>
    </row>
    <row r="49" spans="1:14" x14ac:dyDescent="0.2">
      <c r="A49" s="1" t="str">
        <f>CLEAN("1009-33-25")</f>
        <v>1009-33-25</v>
      </c>
      <c r="B49" s="1" t="str">
        <f t="shared" si="2"/>
        <v>303</v>
      </c>
      <c r="C49" s="1" t="str">
        <f t="shared" si="5"/>
        <v>LET</v>
      </c>
      <c r="D49" s="2">
        <v>44136</v>
      </c>
      <c r="E49" s="1">
        <v>2021</v>
      </c>
      <c r="F49" s="1" t="str">
        <f>CLEAN("03/09/2021")</f>
        <v>03/09/2021</v>
      </c>
      <c r="G49" s="1" t="str">
        <f>CLEAN("BRPVTV")</f>
        <v>BRPVTV</v>
      </c>
      <c r="H49" s="1" t="s">
        <v>6</v>
      </c>
      <c r="I49" s="1" t="str">
        <f>CLEAN("VAR")</f>
        <v>VAR</v>
      </c>
      <c r="J49" s="1" t="str">
        <f>CLEAN("HWY")</f>
        <v>HWY</v>
      </c>
      <c r="K49" s="1" t="str">
        <f>CLEAN("REGION WIDE DECK SEALING FY21")</f>
        <v>REGION WIDE DECK SEALING FY21</v>
      </c>
      <c r="L49" s="1" t="str">
        <f>CLEAN("VARIOUS BACKBONE ROUTES STH")</f>
        <v>VARIOUS BACKBONE ROUTES STH</v>
      </c>
      <c r="M49" s="1" t="str">
        <f>CLEAN("CONST/DECK SEALING")</f>
        <v>CONST/DECK SEALING</v>
      </c>
      <c r="N49" s="1">
        <v>0</v>
      </c>
    </row>
    <row r="50" spans="1:14" x14ac:dyDescent="0.2">
      <c r="A50" s="1" t="str">
        <f>CLEAN("1009-33-32")</f>
        <v>1009-33-32</v>
      </c>
      <c r="B50" s="1" t="str">
        <f t="shared" si="2"/>
        <v>303</v>
      </c>
      <c r="C50" s="1" t="str">
        <f t="shared" si="5"/>
        <v>LET</v>
      </c>
      <c r="D50" s="2">
        <v>44136</v>
      </c>
      <c r="E50" s="1">
        <v>2021</v>
      </c>
      <c r="F50" s="1" t="str">
        <f>CLEAN("03/09/2021")</f>
        <v>03/09/2021</v>
      </c>
      <c r="G50" s="1" t="str">
        <f>CLEAN("BRPVTV")</f>
        <v>BRPVTV</v>
      </c>
      <c r="H50" s="1" t="s">
        <v>6</v>
      </c>
      <c r="I50" s="1" t="str">
        <f>CLEAN("VAR")</f>
        <v>VAR</v>
      </c>
      <c r="J50" s="1" t="str">
        <f>CLEAN("HWY")</f>
        <v>HWY</v>
      </c>
      <c r="K50" s="1" t="str">
        <f>CLEAN("REGION WIDE DECK SEALING FY21")</f>
        <v>REGION WIDE DECK SEALING FY21</v>
      </c>
      <c r="L50" s="1" t="str">
        <f>CLEAN("VARIOUS 3R/LCB ROUTES STH")</f>
        <v>VARIOUS 3R/LCB ROUTES STH</v>
      </c>
      <c r="M50" s="1" t="str">
        <f>CLEAN("CONST/DECK SEALING")</f>
        <v>CONST/DECK SEALING</v>
      </c>
      <c r="N50" s="1">
        <v>0</v>
      </c>
    </row>
    <row r="51" spans="1:14" x14ac:dyDescent="0.2">
      <c r="A51" s="1" t="str">
        <f>CLEAN("1491-21-71")</f>
        <v>1491-21-71</v>
      </c>
      <c r="B51" s="1" t="str">
        <f t="shared" si="2"/>
        <v>303</v>
      </c>
      <c r="C51" s="1" t="str">
        <f t="shared" si="5"/>
        <v>LET</v>
      </c>
      <c r="D51" s="2">
        <v>44136</v>
      </c>
      <c r="E51" s="1">
        <v>2021</v>
      </c>
      <c r="F51" s="1" t="str">
        <f>CLEAN("03/09/2021")</f>
        <v>03/09/2021</v>
      </c>
      <c r="G51" s="1" t="str">
        <f>CLEAN("BRPVTV")</f>
        <v>BRPVTV</v>
      </c>
      <c r="H51" s="1" t="str">
        <f>CLEAN("MARINETTE")</f>
        <v>MARINETTE</v>
      </c>
      <c r="I51" s="1" t="str">
        <f>CLEAN("USH")</f>
        <v>USH</v>
      </c>
      <c r="J51" s="1" t="str">
        <f>CLEAN("008")</f>
        <v>008</v>
      </c>
      <c r="K51" s="1" t="str">
        <f>CLEAN("PEMBINE-NIAGARA")</f>
        <v>PEMBINE-NIAGARA</v>
      </c>
      <c r="L51" s="1" t="str">
        <f>CLEAN("CRAIN LANE")</f>
        <v>CRAIN LANE</v>
      </c>
      <c r="M51" s="1" t="str">
        <f>CLEAN("CONST/DECK B-38-0015 RW-NO")</f>
        <v>CONST/DECK B-38-0015 RW-NO</v>
      </c>
      <c r="N51" s="1">
        <v>6.0999999999999999E-2</v>
      </c>
    </row>
    <row r="52" spans="1:14" x14ac:dyDescent="0.2">
      <c r="A52" s="1" t="str">
        <f>CLEAN("1440-15-71")</f>
        <v>1440-15-71</v>
      </c>
      <c r="B52" s="1" t="str">
        <f>CLEAN("302")</f>
        <v>302</v>
      </c>
      <c r="C52" s="1" t="str">
        <f t="shared" si="5"/>
        <v>LET</v>
      </c>
      <c r="D52" s="2">
        <v>44136</v>
      </c>
      <c r="E52" s="1">
        <v>2021</v>
      </c>
      <c r="F52" s="1" t="str">
        <f>CLEAN("03/09/2021")</f>
        <v>03/09/2021</v>
      </c>
      <c r="G52" s="1" t="str">
        <f>CLEAN("RECST")</f>
        <v>RECST</v>
      </c>
      <c r="H52" s="1" t="str">
        <f>CLEAN("FOND DU LAC")</f>
        <v>FOND DU LAC</v>
      </c>
      <c r="I52" s="1" t="str">
        <f>CLEAN("STH")</f>
        <v>STH</v>
      </c>
      <c r="J52" s="1" t="str">
        <f>CLEAN("023")</f>
        <v>023</v>
      </c>
      <c r="K52" s="1" t="str">
        <f>CLEAN("FOND DU LAC - PLYMOUTH")</f>
        <v>FOND DU LAC - PLYMOUTH</v>
      </c>
      <c r="L52" s="1" t="str">
        <f>CLEAN("USH 151-SEVEN HILLS ROAD")</f>
        <v>USH 151-SEVEN HILLS ROAD</v>
      </c>
      <c r="M52" s="1" t="str">
        <f>CLEAN("GRADE/BASE/PAVE    R/W-YES")</f>
        <v>GRADE/BASE/PAVE    R/W-YES</v>
      </c>
      <c r="N52" s="1">
        <v>6.01</v>
      </c>
    </row>
    <row r="53" spans="1:14" x14ac:dyDescent="0.2">
      <c r="A53" s="1" t="str">
        <f>CLEAN("1590-23-71")</f>
        <v>1590-23-71</v>
      </c>
      <c r="B53" s="1" t="str">
        <f>CLEAN("303")</f>
        <v>303</v>
      </c>
      <c r="C53" s="1" t="str">
        <f t="shared" si="5"/>
        <v>LET</v>
      </c>
      <c r="D53" s="2">
        <v>44136</v>
      </c>
      <c r="E53" s="1">
        <v>2021</v>
      </c>
      <c r="F53" s="1" t="str">
        <f>CLEAN("03/09/2021")</f>
        <v>03/09/2021</v>
      </c>
      <c r="G53" s="1" t="str">
        <f>CLEAN("RSRF30")</f>
        <v>RSRF30</v>
      </c>
      <c r="H53" s="1" t="str">
        <f>CLEAN("MARINETTE")</f>
        <v>MARINETTE</v>
      </c>
      <c r="I53" s="1" t="str">
        <f>CLEAN("USH")</f>
        <v>USH</v>
      </c>
      <c r="J53" s="1" t="str">
        <f>CLEAN("008")</f>
        <v>008</v>
      </c>
      <c r="K53" s="1" t="str">
        <f>CLEAN("DUNBAR-PEMBINE")</f>
        <v>DUNBAR-PEMBINE</v>
      </c>
      <c r="L53" s="1" t="str">
        <f>CLEAN("CTH O-USH 141")</f>
        <v>CTH O-USH 141</v>
      </c>
      <c r="M53" s="1" t="str">
        <f>CLEAN("CONST/RESURF")</f>
        <v>CONST/RESURF</v>
      </c>
      <c r="N53" s="1">
        <v>8.3699999999999992</v>
      </c>
    </row>
    <row r="54" spans="1:14" x14ac:dyDescent="0.2">
      <c r="A54" s="1" t="str">
        <f>CLEAN("1440-15-78")</f>
        <v>1440-15-78</v>
      </c>
      <c r="B54" s="1" t="str">
        <f>CLEAN("302")</f>
        <v>302</v>
      </c>
      <c r="C54" s="1" t="str">
        <f t="shared" si="5"/>
        <v>LET</v>
      </c>
      <c r="D54" s="2">
        <v>44228</v>
      </c>
      <c r="E54" s="1">
        <v>2021</v>
      </c>
      <c r="F54" s="1" t="str">
        <f>CLEAN("05/11/2021")</f>
        <v>05/11/2021</v>
      </c>
      <c r="G54" s="1" t="str">
        <f>CLEAN("RECST")</f>
        <v>RECST</v>
      </c>
      <c r="H54" s="1" t="str">
        <f>CLEAN("FOND DU LAC")</f>
        <v>FOND DU LAC</v>
      </c>
      <c r="I54" s="1" t="str">
        <f t="shared" ref="I54:I59" si="6">CLEAN("STH")</f>
        <v>STH</v>
      </c>
      <c r="J54" s="1" t="str">
        <f>CLEAN("023")</f>
        <v>023</v>
      </c>
      <c r="K54" s="1" t="str">
        <f>CLEAN("FOND DU LAC - PLYMOUTH")</f>
        <v>FOND DU LAC - PLYMOUTH</v>
      </c>
      <c r="L54" s="1" t="str">
        <f>CLEAN("SEVEN HILLS ROAD-CTH P")</f>
        <v>SEVEN HILLS ROAD-CTH P</v>
      </c>
      <c r="M54" s="1" t="str">
        <f>CLEAN("CONST")</f>
        <v>CONST</v>
      </c>
      <c r="N54" s="1">
        <v>13.94</v>
      </c>
    </row>
    <row r="55" spans="1:14" x14ac:dyDescent="0.2">
      <c r="A55" s="1" t="str">
        <f>CLEAN("1146-75-71")</f>
        <v>1146-75-71</v>
      </c>
      <c r="B55" s="1" t="str">
        <f>CLEAN("302")</f>
        <v>302</v>
      </c>
      <c r="C55" s="1" t="str">
        <f t="shared" si="5"/>
        <v>LET</v>
      </c>
      <c r="D55" s="2">
        <v>44228</v>
      </c>
      <c r="E55" s="1">
        <v>2021</v>
      </c>
      <c r="F55" s="1" t="str">
        <f>CLEAN("05/11/2021")</f>
        <v>05/11/2021</v>
      </c>
      <c r="G55" s="1" t="str">
        <f>CLEAN("RECSTE")</f>
        <v>RECSTE</v>
      </c>
      <c r="H55" s="1" t="str">
        <f>CLEAN("OUTAGAMIE")</f>
        <v>OUTAGAMIE</v>
      </c>
      <c r="I55" s="1" t="str">
        <f t="shared" si="6"/>
        <v>STH</v>
      </c>
      <c r="J55" s="1" t="str">
        <f>CLEAN("015")</f>
        <v>015</v>
      </c>
      <c r="K55" s="1" t="str">
        <f>CLEAN("STH 76-NEW LONDON")</f>
        <v>STH 76-NEW LONDON</v>
      </c>
      <c r="L55" s="1" t="str">
        <f>CLEAN("WI CENTRAL RR-CTH JJ")</f>
        <v>WI CENTRAL RR-CTH JJ</v>
      </c>
      <c r="M55" s="1" t="str">
        <f>CLEAN("CONST/RECSTE ADDITION LANES")</f>
        <v>CONST/RECSTE ADDITION LANES</v>
      </c>
      <c r="N55" s="1">
        <v>3.92</v>
      </c>
    </row>
    <row r="56" spans="1:14" x14ac:dyDescent="0.2">
      <c r="A56" s="1" t="str">
        <f>CLEAN("1470-34-60")</f>
        <v>1470-34-60</v>
      </c>
      <c r="B56" s="1" t="str">
        <f t="shared" ref="B56:B61" si="7">CLEAN("303")</f>
        <v>303</v>
      </c>
      <c r="C56" s="1" t="str">
        <f t="shared" si="5"/>
        <v>LET</v>
      </c>
      <c r="D56" s="2">
        <v>44044</v>
      </c>
      <c r="E56" s="1">
        <v>2022</v>
      </c>
      <c r="F56" s="1" t="str">
        <f>CLEAN("09/14/2021")</f>
        <v>09/14/2021</v>
      </c>
      <c r="G56" s="1" t="str">
        <f>CLEAN("PSRS40")</f>
        <v>PSRS40</v>
      </c>
      <c r="H56" s="1" t="str">
        <f>CLEAN("KEWAUNEE")</f>
        <v>KEWAUNEE</v>
      </c>
      <c r="I56" s="1" t="str">
        <f t="shared" si="6"/>
        <v>STH</v>
      </c>
      <c r="J56" s="1" t="str">
        <f>CLEAN("042")</f>
        <v>042</v>
      </c>
      <c r="K56" s="1" t="str">
        <f>CLEAN("KEWAUNEE-STURGEON BAY")</f>
        <v>KEWAUNEE-STURGEON BAY</v>
      </c>
      <c r="L56" s="1" t="str">
        <f>CLEAN("DUVALL STREET-NCL")</f>
        <v>DUVALL STREET-NCL</v>
      </c>
      <c r="M56" s="1" t="str">
        <f>CLEAN("CONST/PSRS40")</f>
        <v>CONST/PSRS40</v>
      </c>
      <c r="N56" s="1">
        <v>16.183</v>
      </c>
    </row>
    <row r="57" spans="1:14" x14ac:dyDescent="0.2">
      <c r="A57" s="1" t="str">
        <f>CLEAN("9150-06-71")</f>
        <v>9150-06-71</v>
      </c>
      <c r="B57" s="1" t="str">
        <f t="shared" si="7"/>
        <v>303</v>
      </c>
      <c r="C57" s="1" t="str">
        <f t="shared" si="5"/>
        <v>LET</v>
      </c>
      <c r="D57" s="2">
        <v>44317</v>
      </c>
      <c r="E57" s="1">
        <v>2022</v>
      </c>
      <c r="F57" s="1" t="str">
        <f>CLEAN("09/14/2021")</f>
        <v>09/14/2021</v>
      </c>
      <c r="G57" s="1" t="str">
        <f>CLEAN("RSRF30")</f>
        <v>RSRF30</v>
      </c>
      <c r="H57" s="1" t="str">
        <f>CLEAN("OCONTO")</f>
        <v>OCONTO</v>
      </c>
      <c r="I57" s="1" t="str">
        <f t="shared" si="6"/>
        <v>STH</v>
      </c>
      <c r="J57" s="1" t="str">
        <f>CLEAN("032")</f>
        <v>032</v>
      </c>
      <c r="K57" s="1" t="str">
        <f>CLEAN("BREED-TOWNSEND")</f>
        <v>BREED-TOWNSEND</v>
      </c>
      <c r="L57" s="1" t="str">
        <f>CLEAN("PARKWAY DRIVE - CTH W")</f>
        <v>PARKWAY DRIVE - CTH W</v>
      </c>
      <c r="M57" s="1" t="str">
        <f>CLEAN("CONST/RESURF")</f>
        <v>CONST/RESURF</v>
      </c>
      <c r="N57" s="1">
        <v>4.2320000000000002</v>
      </c>
    </row>
    <row r="58" spans="1:14" x14ac:dyDescent="0.2">
      <c r="A58" s="1" t="str">
        <f>CLEAN("9190-26-71")</f>
        <v>9190-26-71</v>
      </c>
      <c r="B58" s="1" t="str">
        <f t="shared" si="7"/>
        <v>303</v>
      </c>
      <c r="C58" s="1" t="str">
        <f t="shared" si="5"/>
        <v>LET</v>
      </c>
      <c r="D58" s="2">
        <v>43952</v>
      </c>
      <c r="E58" s="1">
        <v>2022</v>
      </c>
      <c r="F58" s="1" t="str">
        <f>CLEAN("11/09/2021")</f>
        <v>11/09/2021</v>
      </c>
      <c r="G58" s="1" t="str">
        <f>CLEAN("COLD20")</f>
        <v>COLD20</v>
      </c>
      <c r="H58" s="1" t="str">
        <f>CLEAN("OCONTO")</f>
        <v>OCONTO</v>
      </c>
      <c r="I58" s="1" t="str">
        <f t="shared" si="6"/>
        <v>STH</v>
      </c>
      <c r="J58" s="1" t="str">
        <f>CLEAN("032")</f>
        <v>032</v>
      </c>
      <c r="K58" s="1" t="str">
        <f>CLEAN("PULASKI - STH 22")</f>
        <v>PULASKI - STH 22</v>
      </c>
      <c r="L58" s="1" t="str">
        <f>CLEAN("PULASKI NVL - CTH E")</f>
        <v>PULASKI NVL - CTH E</v>
      </c>
      <c r="M58" s="1" t="str">
        <f>CLEAN("CONST/RESURF")</f>
        <v>CONST/RESURF</v>
      </c>
      <c r="N58" s="1">
        <v>7.56</v>
      </c>
    </row>
    <row r="59" spans="1:14" x14ac:dyDescent="0.2">
      <c r="A59" s="1" t="str">
        <f>CLEAN("9190-27-71")</f>
        <v>9190-27-71</v>
      </c>
      <c r="B59" s="1" t="str">
        <f t="shared" si="7"/>
        <v>303</v>
      </c>
      <c r="C59" s="1" t="str">
        <f t="shared" si="5"/>
        <v>LET</v>
      </c>
      <c r="D59" s="2">
        <v>43952</v>
      </c>
      <c r="E59" s="1">
        <v>2022</v>
      </c>
      <c r="F59" s="1" t="str">
        <f>CLEAN("11/09/2021")</f>
        <v>11/09/2021</v>
      </c>
      <c r="G59" s="1" t="str">
        <f>CLEAN("COLD20")</f>
        <v>COLD20</v>
      </c>
      <c r="H59" s="1" t="str">
        <f>CLEAN("OCONTO")</f>
        <v>OCONTO</v>
      </c>
      <c r="I59" s="1" t="str">
        <f t="shared" si="6"/>
        <v>STH</v>
      </c>
      <c r="J59" s="1" t="str">
        <f>CLEAN("032")</f>
        <v>032</v>
      </c>
      <c r="K59" s="1" t="str">
        <f>CLEAN("PULASKI - STH 22")</f>
        <v>PULASKI - STH 22</v>
      </c>
      <c r="L59" s="1" t="str">
        <f>CLEAN("CTH E - STH 22")</f>
        <v>CTH E - STH 22</v>
      </c>
      <c r="M59" s="1" t="str">
        <f>CLEAN("CONST/ RESURF")</f>
        <v>CONST/ RESURF</v>
      </c>
      <c r="N59" s="1">
        <v>6.95</v>
      </c>
    </row>
    <row r="60" spans="1:14" x14ac:dyDescent="0.2">
      <c r="A60" s="1" t="str">
        <f>CLEAN("1130-72-60")</f>
        <v>1130-72-60</v>
      </c>
      <c r="B60" s="1" t="str">
        <f t="shared" si="7"/>
        <v>303</v>
      </c>
      <c r="C60" s="1" t="str">
        <f t="shared" si="5"/>
        <v>LET</v>
      </c>
      <c r="D60" s="2">
        <v>44409</v>
      </c>
      <c r="E60" s="1">
        <v>2022</v>
      </c>
      <c r="F60" s="1" t="str">
        <f>CLEAN("11/09/2021")</f>
        <v>11/09/2021</v>
      </c>
      <c r="G60" s="1" t="str">
        <f>CLEAN("PSRS40")</f>
        <v>PSRS40</v>
      </c>
      <c r="H60" s="1" t="str">
        <f>CLEAN("OUTAGAMIE")</f>
        <v>OUTAGAMIE</v>
      </c>
      <c r="I60" s="1" t="str">
        <f>CLEAN("IH")</f>
        <v>IH</v>
      </c>
      <c r="J60" s="1" t="str">
        <f>CLEAN("041")</f>
        <v>041</v>
      </c>
      <c r="K60" s="1" t="str">
        <f>CLEAN("APPLETON - GREEN BAY")</f>
        <v>APPLETON - GREEN BAY</v>
      </c>
      <c r="L60" s="1" t="str">
        <f>CLEAN("STH 15 - CTH J")</f>
        <v>STH 15 - CTH J</v>
      </c>
      <c r="M60" s="1" t="str">
        <f>CLEAN("CONST/PSRS40")</f>
        <v>CONST/PSRS40</v>
      </c>
      <c r="N60" s="1">
        <v>11.936999999999999</v>
      </c>
    </row>
    <row r="61" spans="1:14" x14ac:dyDescent="0.2">
      <c r="A61" s="1" t="str">
        <f>CLEAN("4125-14-60")</f>
        <v>4125-14-60</v>
      </c>
      <c r="B61" s="1" t="str">
        <f t="shared" si="7"/>
        <v>303</v>
      </c>
      <c r="C61" s="1" t="str">
        <f t="shared" si="5"/>
        <v>LET</v>
      </c>
      <c r="D61" s="2">
        <v>43952</v>
      </c>
      <c r="E61" s="1">
        <v>2022</v>
      </c>
      <c r="F61" s="1" t="str">
        <f>CLEAN("11/09/2021")</f>
        <v>11/09/2021</v>
      </c>
      <c r="G61" s="1" t="str">
        <f>CLEAN("PSRS40")</f>
        <v>PSRS40</v>
      </c>
      <c r="H61" s="1" t="str">
        <f>CLEAN("KEWAUNEE")</f>
        <v>KEWAUNEE</v>
      </c>
      <c r="I61" s="1" t="str">
        <f>CLEAN("STH")</f>
        <v>STH</v>
      </c>
      <c r="J61" s="1" t="str">
        <f>CLEAN("029")</f>
        <v>029</v>
      </c>
      <c r="K61" s="1" t="str">
        <f>CLEAN("GREEN BAY-KEWAUNEE")</f>
        <v>GREEN BAY-KEWAUNEE</v>
      </c>
      <c r="L61" s="1" t="str">
        <f>CLEAN("WCL-CTH C")</f>
        <v>WCL-CTH C</v>
      </c>
      <c r="M61" s="1" t="str">
        <f>CLEAN("CONST/RESURF MILL/OVERLAY")</f>
        <v>CONST/RESURF MILL/OVERLAY</v>
      </c>
      <c r="N61" s="1">
        <v>11.68</v>
      </c>
    </row>
    <row r="62" spans="1:14" x14ac:dyDescent="0.2">
      <c r="A62" s="1" t="str">
        <f>CLEAN("1146-75-72")</f>
        <v>1146-75-72</v>
      </c>
      <c r="B62" s="1" t="str">
        <f>CLEAN("302")</f>
        <v>302</v>
      </c>
      <c r="C62" s="1" t="str">
        <f t="shared" si="5"/>
        <v>LET</v>
      </c>
      <c r="D62" s="2">
        <v>44228</v>
      </c>
      <c r="E62" s="1">
        <v>2022</v>
      </c>
      <c r="F62" s="1" t="str">
        <f>CLEAN("11/09/2021")</f>
        <v>11/09/2021</v>
      </c>
      <c r="G62" s="1" t="str">
        <f>CLEAN("RECSTE")</f>
        <v>RECSTE</v>
      </c>
      <c r="H62" s="1" t="str">
        <f>CLEAN("OUTAGAMIE")</f>
        <v>OUTAGAMIE</v>
      </c>
      <c r="I62" s="1" t="str">
        <f>CLEAN("STH")</f>
        <v>STH</v>
      </c>
      <c r="J62" s="1" t="str">
        <f>CLEAN("015")</f>
        <v>015</v>
      </c>
      <c r="K62" s="1" t="str">
        <f>CLEAN("STH 76-NEW LONDON")</f>
        <v>STH 76-NEW LONDON</v>
      </c>
      <c r="L62" s="1" t="str">
        <f>CLEAN("CTH JJ - LILY OF THE VALLEY DR")</f>
        <v>CTH JJ - LILY OF THE VALLEY DR</v>
      </c>
      <c r="M62" s="1" t="str">
        <f>CLEAN("CONST/RECSTE ADDITION LANES")</f>
        <v>CONST/RECSTE ADDITION LANES</v>
      </c>
      <c r="N62" s="1">
        <v>3.36</v>
      </c>
    </row>
    <row r="63" spans="1:14" x14ac:dyDescent="0.2">
      <c r="A63" s="1" t="str">
        <f>CLEAN("1440-40-71")</f>
        <v>1440-40-71</v>
      </c>
      <c r="B63" s="1" t="str">
        <f t="shared" ref="B63:B90" si="8">CLEAN("303")</f>
        <v>303</v>
      </c>
      <c r="C63" s="1" t="str">
        <f t="shared" si="5"/>
        <v>LET</v>
      </c>
      <c r="D63" s="2">
        <v>44409</v>
      </c>
      <c r="E63" s="1">
        <v>2022</v>
      </c>
      <c r="F63" s="1" t="str">
        <f>CLEAN("12/14/2021")</f>
        <v>12/14/2021</v>
      </c>
      <c r="G63" s="1" t="str">
        <f>CLEAN("MISC")</f>
        <v>MISC</v>
      </c>
      <c r="H63" s="1" t="str">
        <f>CLEAN("FOND DU LAC")</f>
        <v>FOND DU LAC</v>
      </c>
      <c r="I63" s="1" t="str">
        <f>CLEAN("USH")</f>
        <v>USH</v>
      </c>
      <c r="J63" s="1" t="str">
        <f>CLEAN("045")</f>
        <v>045</v>
      </c>
      <c r="K63" s="1" t="str">
        <f>CLEAN("W JOHNSON ST  C OF FOND DU LAC")</f>
        <v>W JOHNSON ST  C OF FOND DU LAC</v>
      </c>
      <c r="L63" s="1" t="str">
        <f>CLEAN("PIONEER ROAD INTERSECTION")</f>
        <v>PIONEER ROAD INTERSECTION</v>
      </c>
      <c r="M63" s="1" t="str">
        <f>CLEAN("CONST/ HSIP")</f>
        <v>CONST/ HSIP</v>
      </c>
      <c r="N63" s="1">
        <v>8.8999999999999996E-2</v>
      </c>
    </row>
    <row r="64" spans="1:14" x14ac:dyDescent="0.2">
      <c r="A64" s="1" t="str">
        <f>CLEAN("4085-48-71")</f>
        <v>4085-48-71</v>
      </c>
      <c r="B64" s="1" t="str">
        <f t="shared" si="8"/>
        <v>303</v>
      </c>
      <c r="C64" s="1" t="str">
        <f t="shared" si="5"/>
        <v>LET</v>
      </c>
      <c r="D64" s="2">
        <v>44409</v>
      </c>
      <c r="E64" s="1">
        <v>2022</v>
      </c>
      <c r="F64" s="1" t="str">
        <f>CLEAN("12/14/2021")</f>
        <v>12/14/2021</v>
      </c>
      <c r="G64" s="1" t="str">
        <f>CLEAN("RSRF30")</f>
        <v>RSRF30</v>
      </c>
      <c r="H64" s="1" t="str">
        <f>CLEAN("MANITOWOC")</f>
        <v>MANITOWOC</v>
      </c>
      <c r="I64" s="1" t="str">
        <f>CLEAN("STH")</f>
        <v>STH</v>
      </c>
      <c r="J64" s="1" t="str">
        <f>CLEAN("032")</f>
        <v>032</v>
      </c>
      <c r="K64" s="1" t="str">
        <f>CLEAN("HOWARDS GROVE-KIEL")</f>
        <v>HOWARDS GROVE-KIEL</v>
      </c>
      <c r="L64" s="1" t="str">
        <f>CLEAN("STH 32/57 SOUTH JUNCTION-STH 67")</f>
        <v>STH 32/57 SOUTH JUNCTION-STH 67</v>
      </c>
      <c r="M64" s="1" t="str">
        <f>CLEAN("CONST/RESURF")</f>
        <v>CONST/RESURF</v>
      </c>
      <c r="N64" s="1">
        <v>3.7850000000000001</v>
      </c>
    </row>
    <row r="65" spans="1:14" x14ac:dyDescent="0.2">
      <c r="A65" s="1" t="str">
        <f>CLEAN("1227-12-71")</f>
        <v>1227-12-71</v>
      </c>
      <c r="B65" s="1" t="str">
        <f t="shared" si="8"/>
        <v>303</v>
      </c>
      <c r="C65" s="1" t="str">
        <f t="shared" si="5"/>
        <v>LET</v>
      </c>
      <c r="D65" s="2">
        <v>44197</v>
      </c>
      <c r="E65" s="1">
        <v>2022</v>
      </c>
      <c r="F65" s="1" t="str">
        <f>CLEAN("01/11/2022")</f>
        <v>01/11/2022</v>
      </c>
      <c r="G65" s="1" t="str">
        <f>CLEAN("RSRF10")</f>
        <v>RSRF10</v>
      </c>
      <c r="H65" s="1" t="str">
        <f>CLEAN("MANITOWOC")</f>
        <v>MANITOWOC</v>
      </c>
      <c r="I65" s="1" t="str">
        <f>CLEAN("IH")</f>
        <v>IH</v>
      </c>
      <c r="J65" s="1" t="str">
        <f>CLEAN("043")</f>
        <v>043</v>
      </c>
      <c r="K65" s="1" t="str">
        <f>CLEAN("MANITOWOC-GREEN BAY")</f>
        <v>MANITOWOC-GREEN BAY</v>
      </c>
      <c r="L65" s="1" t="str">
        <f>CLEAN("STH 310-DEVIL'S RIVER STATE TRAIL")</f>
        <v>STH 310-DEVIL'S RIVER STATE TRAIL</v>
      </c>
      <c r="M65" s="1" t="str">
        <f>CLEAN("CONST/RESURF MILL/OVERLAY")</f>
        <v>CONST/RESURF MILL/OVERLAY</v>
      </c>
      <c r="N65" s="1">
        <v>8.5500000000000007</v>
      </c>
    </row>
    <row r="66" spans="1:14" x14ac:dyDescent="0.2">
      <c r="A66" s="1" t="str">
        <f>CLEAN("1009-33-26")</f>
        <v>1009-33-26</v>
      </c>
      <c r="B66" s="1" t="str">
        <f t="shared" si="8"/>
        <v>303</v>
      </c>
      <c r="C66" s="1" t="str">
        <f t="shared" ref="C66:C97" si="9">CLEAN("LET")</f>
        <v>LET</v>
      </c>
      <c r="D66" s="2">
        <v>44501</v>
      </c>
      <c r="E66" s="1">
        <v>2022</v>
      </c>
      <c r="F66" s="1" t="str">
        <f t="shared" ref="F66:F73" si="10">CLEAN("03/08/2022")</f>
        <v>03/08/2022</v>
      </c>
      <c r="G66" s="1" t="str">
        <f>CLEAN("BRPVTV")</f>
        <v>BRPVTV</v>
      </c>
      <c r="H66" s="1" t="s">
        <v>6</v>
      </c>
      <c r="I66" s="1" t="str">
        <f>CLEAN("VAR")</f>
        <v>VAR</v>
      </c>
      <c r="J66" s="1" t="str">
        <f>CLEAN("HWY")</f>
        <v>HWY</v>
      </c>
      <c r="K66" s="1" t="str">
        <f>CLEAN("REGION WIDE DECK SEALING FY22")</f>
        <v>REGION WIDE DECK SEALING FY22</v>
      </c>
      <c r="L66" s="1" t="str">
        <f>CLEAN("VARIOUS BACKBONE ROUTES STH")</f>
        <v>VARIOUS BACKBONE ROUTES STH</v>
      </c>
      <c r="M66" s="1" t="str">
        <f>CLEAN("CONST/DECK SEALING")</f>
        <v>CONST/DECK SEALING</v>
      </c>
      <c r="N66" s="1">
        <v>0</v>
      </c>
    </row>
    <row r="67" spans="1:14" x14ac:dyDescent="0.2">
      <c r="A67" s="1" t="str">
        <f>CLEAN("1009-33-33")</f>
        <v>1009-33-33</v>
      </c>
      <c r="B67" s="1" t="str">
        <f t="shared" si="8"/>
        <v>303</v>
      </c>
      <c r="C67" s="1" t="str">
        <f t="shared" si="9"/>
        <v>LET</v>
      </c>
      <c r="D67" s="2">
        <v>44501</v>
      </c>
      <c r="E67" s="1">
        <v>2022</v>
      </c>
      <c r="F67" s="1" t="str">
        <f t="shared" si="10"/>
        <v>03/08/2022</v>
      </c>
      <c r="G67" s="1" t="str">
        <f>CLEAN("BRPVTV")</f>
        <v>BRPVTV</v>
      </c>
      <c r="H67" s="1" t="s">
        <v>6</v>
      </c>
      <c r="I67" s="1" t="str">
        <f>CLEAN("VAR")</f>
        <v>VAR</v>
      </c>
      <c r="J67" s="1" t="str">
        <f>CLEAN("HWY")</f>
        <v>HWY</v>
      </c>
      <c r="K67" s="1" t="str">
        <f>CLEAN("REGION WIDE DECK SEALING FY22")</f>
        <v>REGION WIDE DECK SEALING FY22</v>
      </c>
      <c r="L67" s="1" t="str">
        <f>CLEAN("VARIOUS 3R/LCB ROUTES STH")</f>
        <v>VARIOUS 3R/LCB ROUTES STH</v>
      </c>
      <c r="M67" s="1" t="str">
        <f>CLEAN("CONST/DECK SEALING")</f>
        <v>CONST/DECK SEALING</v>
      </c>
      <c r="N67" s="1">
        <v>0</v>
      </c>
    </row>
    <row r="68" spans="1:14" x14ac:dyDescent="0.2">
      <c r="A68" s="1" t="str">
        <f>CLEAN("9190-28-71")</f>
        <v>9190-28-71</v>
      </c>
      <c r="B68" s="1" t="str">
        <f t="shared" si="8"/>
        <v>303</v>
      </c>
      <c r="C68" s="1" t="str">
        <f t="shared" si="9"/>
        <v>LET</v>
      </c>
      <c r="D68" s="2">
        <v>44501</v>
      </c>
      <c r="E68" s="1">
        <v>2022</v>
      </c>
      <c r="F68" s="1" t="str">
        <f t="shared" si="10"/>
        <v>03/08/2022</v>
      </c>
      <c r="G68" s="1" t="str">
        <f>CLEAN("BRRHB")</f>
        <v>BRRHB</v>
      </c>
      <c r="H68" s="1" t="str">
        <f>CLEAN("OCONTO")</f>
        <v>OCONTO</v>
      </c>
      <c r="I68" s="1" t="str">
        <f t="shared" ref="I68:I73" si="11">CLEAN("STH")</f>
        <v>STH</v>
      </c>
      <c r="J68" s="1" t="str">
        <f>CLEAN("032")</f>
        <v>032</v>
      </c>
      <c r="K68" s="1" t="str">
        <f>CLEAN("SURING-BREED")</f>
        <v>SURING-BREED</v>
      </c>
      <c r="L68" s="1" t="str">
        <f>CLEAN("SOUTH BRANCH OCONTO RIVER BRIDGE")</f>
        <v>SOUTH BRANCH OCONTO RIVER BRIDGE</v>
      </c>
      <c r="M68" s="1" t="str">
        <f>CLEAN("CONST/DECK REPLACE B-42-0021")</f>
        <v>CONST/DECK REPLACE B-42-0021</v>
      </c>
      <c r="N68" s="1">
        <v>0</v>
      </c>
    </row>
    <row r="69" spans="1:14" x14ac:dyDescent="0.2">
      <c r="A69" s="1" t="str">
        <f>CLEAN("6560-08-71")</f>
        <v>6560-08-71</v>
      </c>
      <c r="B69" s="1" t="str">
        <f t="shared" si="8"/>
        <v>303</v>
      </c>
      <c r="C69" s="1" t="str">
        <f t="shared" si="9"/>
        <v>LET</v>
      </c>
      <c r="D69" s="2">
        <v>44501</v>
      </c>
      <c r="E69" s="1">
        <v>2022</v>
      </c>
      <c r="F69" s="1" t="str">
        <f t="shared" si="10"/>
        <v>03/08/2022</v>
      </c>
      <c r="G69" s="1" t="str">
        <f>CLEAN("MISC")</f>
        <v>MISC</v>
      </c>
      <c r="H69" s="1" t="str">
        <f>CLEAN("OUTAGAMIE")</f>
        <v>OUTAGAMIE</v>
      </c>
      <c r="I69" s="1" t="str">
        <f t="shared" si="11"/>
        <v>STH</v>
      </c>
      <c r="J69" s="1" t="str">
        <f>CLEAN("055")</f>
        <v>055</v>
      </c>
      <c r="K69" s="1" t="str">
        <f>CLEAN("KAUKAUNA-SEYMOUR")</f>
        <v>KAUKAUNA-SEYMOUR</v>
      </c>
      <c r="L69" s="1" t="str">
        <f>CLEAN("CTH JJ INTERSECTION")</f>
        <v>CTH JJ INTERSECTION</v>
      </c>
      <c r="M69" s="1" t="str">
        <f>CLEAN("CONST/INTERSECTION MODIFICATION")</f>
        <v>CONST/INTERSECTION MODIFICATION</v>
      </c>
      <c r="N69" s="1">
        <v>0.02</v>
      </c>
    </row>
    <row r="70" spans="1:14" x14ac:dyDescent="0.2">
      <c r="A70" s="1" t="str">
        <f>CLEAN("4075-39-71")</f>
        <v>4075-39-71</v>
      </c>
      <c r="B70" s="1" t="str">
        <f t="shared" si="8"/>
        <v>303</v>
      </c>
      <c r="C70" s="1" t="str">
        <f t="shared" si="9"/>
        <v>LET</v>
      </c>
      <c r="D70" s="2">
        <v>44501</v>
      </c>
      <c r="E70" s="1">
        <v>2022</v>
      </c>
      <c r="F70" s="1" t="str">
        <f t="shared" si="10"/>
        <v>03/08/2022</v>
      </c>
      <c r="G70" s="1" t="str">
        <f>CLEAN("RSRF20")</f>
        <v>RSRF20</v>
      </c>
      <c r="H70" s="1" t="str">
        <f>CLEAN("BROWN")</f>
        <v>BROWN</v>
      </c>
      <c r="I70" s="1" t="str">
        <f t="shared" si="11"/>
        <v>STH</v>
      </c>
      <c r="J70" s="1" t="str">
        <f>CLEAN("096")</f>
        <v>096</v>
      </c>
      <c r="K70" s="1" t="str">
        <f>CLEAN("WRIGHTSTOWN-DENMARK")</f>
        <v>WRIGHTSTOWN-DENMARK</v>
      </c>
      <c r="L70" s="1" t="str">
        <f>CLEAN("STH 32 - CTH G")</f>
        <v>STH 32 - CTH G</v>
      </c>
      <c r="M70" s="1" t="str">
        <f>CLEAN("DESGN/RESURF RW-NO")</f>
        <v>DESGN/RESURF RW-NO</v>
      </c>
      <c r="N70" s="1">
        <v>9.75</v>
      </c>
    </row>
    <row r="71" spans="1:14" x14ac:dyDescent="0.2">
      <c r="A71" s="1" t="str">
        <f>CLEAN("4075-39-72")</f>
        <v>4075-39-72</v>
      </c>
      <c r="B71" s="1" t="str">
        <f t="shared" si="8"/>
        <v>303</v>
      </c>
      <c r="C71" s="1" t="str">
        <f t="shared" si="9"/>
        <v>LET</v>
      </c>
      <c r="D71" s="2">
        <v>44501</v>
      </c>
      <c r="E71" s="1">
        <v>2022</v>
      </c>
      <c r="F71" s="1" t="str">
        <f t="shared" si="10"/>
        <v>03/08/2022</v>
      </c>
      <c r="G71" s="1" t="str">
        <f>CLEAN("RSRF20")</f>
        <v>RSRF20</v>
      </c>
      <c r="H71" s="1" t="str">
        <f>CLEAN("BROWN")</f>
        <v>BROWN</v>
      </c>
      <c r="I71" s="1" t="str">
        <f t="shared" si="11"/>
        <v>STH</v>
      </c>
      <c r="J71" s="1" t="str">
        <f>CLEAN("096")</f>
        <v>096</v>
      </c>
      <c r="K71" s="1" t="str">
        <f>CLEAN("WRIGHTSTOWN-DENMARK")</f>
        <v>WRIGHTSTOWN-DENMARK</v>
      </c>
      <c r="L71" s="1" t="str">
        <f>CLEAN("CTH G - IH 43")</f>
        <v>CTH G - IH 43</v>
      </c>
      <c r="M71" s="1" t="str">
        <f>CLEAN("CONST/RESURF RW-NO")</f>
        <v>CONST/RESURF RW-NO</v>
      </c>
      <c r="N71" s="1">
        <v>4.9400000000000004</v>
      </c>
    </row>
    <row r="72" spans="1:14" x14ac:dyDescent="0.2">
      <c r="A72" s="1" t="str">
        <f>CLEAN("6570-09-71")</f>
        <v>6570-09-71</v>
      </c>
      <c r="B72" s="1" t="str">
        <f t="shared" si="8"/>
        <v>303</v>
      </c>
      <c r="C72" s="1" t="str">
        <f t="shared" si="9"/>
        <v>LET</v>
      </c>
      <c r="D72" s="2">
        <v>44501</v>
      </c>
      <c r="E72" s="1">
        <v>2022</v>
      </c>
      <c r="F72" s="1" t="str">
        <f t="shared" si="10"/>
        <v>03/08/2022</v>
      </c>
      <c r="G72" s="1" t="str">
        <f>CLEAN("RSRF20")</f>
        <v>RSRF20</v>
      </c>
      <c r="H72" s="1" t="str">
        <f>CLEAN("OUTAGAMIE")</f>
        <v>OUTAGAMIE</v>
      </c>
      <c r="I72" s="1" t="str">
        <f t="shared" si="11"/>
        <v>STH</v>
      </c>
      <c r="J72" s="1" t="str">
        <f>CLEAN("055")</f>
        <v>055</v>
      </c>
      <c r="K72" s="1" t="str">
        <f>CLEAN("KAUKAUNA-SEYMOUR")</f>
        <v>KAUKAUNA-SEYMOUR</v>
      </c>
      <c r="L72" s="1" t="str">
        <f>CLEAN("IH 41-STH 54")</f>
        <v>IH 41-STH 54</v>
      </c>
      <c r="M72" s="1" t="str">
        <f>CLEAN("CONST/RESURF MILL/OVERLAY")</f>
        <v>CONST/RESURF MILL/OVERLAY</v>
      </c>
      <c r="N72" s="1">
        <v>12.99</v>
      </c>
    </row>
    <row r="73" spans="1:14" x14ac:dyDescent="0.2">
      <c r="A73" s="1" t="str">
        <f>CLEAN("9170-12-71")</f>
        <v>9170-12-71</v>
      </c>
      <c r="B73" s="1" t="str">
        <f t="shared" si="8"/>
        <v>303</v>
      </c>
      <c r="C73" s="1" t="str">
        <f t="shared" si="9"/>
        <v>LET</v>
      </c>
      <c r="D73" s="2">
        <v>44501</v>
      </c>
      <c r="E73" s="1">
        <v>2022</v>
      </c>
      <c r="F73" s="1" t="str">
        <f t="shared" si="10"/>
        <v>03/08/2022</v>
      </c>
      <c r="G73" s="1" t="str">
        <f>CLEAN("RSRF20")</f>
        <v>RSRF20</v>
      </c>
      <c r="H73" s="1" t="str">
        <f>CLEAN("OCONTO")</f>
        <v>OCONTO</v>
      </c>
      <c r="I73" s="1" t="str">
        <f t="shared" si="11"/>
        <v>STH</v>
      </c>
      <c r="J73" s="1" t="str">
        <f>CLEAN("032")</f>
        <v>032</v>
      </c>
      <c r="K73" s="1" t="str">
        <f>CLEAN("GILLETT-MOUNTAIN")</f>
        <v>GILLETT-MOUNTAIN</v>
      </c>
      <c r="L73" s="1" t="str">
        <f>CLEAN("TRINITY CHURCH RD-CTH AA")</f>
        <v>TRINITY CHURCH RD-CTH AA</v>
      </c>
      <c r="M73" s="1" t="str">
        <f>CLEAN("CONST/RESURF EXIST ASPHLAT SURFACE")</f>
        <v>CONST/RESURF EXIST ASPHLAT SURFACE</v>
      </c>
      <c r="N73" s="1">
        <v>10.1</v>
      </c>
    </row>
    <row r="74" spans="1:14" x14ac:dyDescent="0.2">
      <c r="A74" s="1" t="str">
        <f>CLEAN("1100-50-71")</f>
        <v>1100-50-71</v>
      </c>
      <c r="B74" s="1" t="str">
        <f t="shared" si="8"/>
        <v>303</v>
      </c>
      <c r="C74" s="1" t="str">
        <f t="shared" si="9"/>
        <v>LET</v>
      </c>
      <c r="D74" s="2" t="str">
        <f>CLEAN("02/01/2022")</f>
        <v>02/01/2022</v>
      </c>
      <c r="E74" s="1">
        <v>2022</v>
      </c>
      <c r="F74" s="1" t="str">
        <f>CLEAN("05/10/2022")</f>
        <v>05/10/2022</v>
      </c>
      <c r="G74" s="1" t="str">
        <f>CLEAN("RSRF10")</f>
        <v>RSRF10</v>
      </c>
      <c r="H74" s="1" t="str">
        <f>CLEAN("FOND DU LAC")</f>
        <v>FOND DU LAC</v>
      </c>
      <c r="I74" s="1" t="str">
        <f>CLEAN("IH")</f>
        <v>IH</v>
      </c>
      <c r="J74" s="1" t="str">
        <f>CLEAN("041")</f>
        <v>041</v>
      </c>
      <c r="K74" s="1" t="str">
        <f>CLEAN("MILWAUKEE-FOND DU LAC")</f>
        <v>MILWAUKEE-FOND DU LAC</v>
      </c>
      <c r="L74" s="1" t="str">
        <f>CLEAN("SCL-USH 151")</f>
        <v>SCL-USH 151</v>
      </c>
      <c r="M74" s="1" t="str">
        <f>CLEAN("CONST/RESURF")</f>
        <v>CONST/RESURF</v>
      </c>
      <c r="N74" s="1">
        <v>7.23</v>
      </c>
    </row>
    <row r="75" spans="1:14" x14ac:dyDescent="0.2">
      <c r="A75" s="1" t="str">
        <f>CLEAN("1150-76-71")</f>
        <v>1150-76-71</v>
      </c>
      <c r="B75" s="1" t="str">
        <f t="shared" si="8"/>
        <v>303</v>
      </c>
      <c r="C75" s="1" t="str">
        <f t="shared" si="9"/>
        <v>LET</v>
      </c>
      <c r="D75" s="2">
        <v>44682</v>
      </c>
      <c r="E75" s="1">
        <v>2023</v>
      </c>
      <c r="F75" s="1" t="str">
        <f>CLEAN("08/09/2022")</f>
        <v>08/09/2022</v>
      </c>
      <c r="G75" s="1" t="str">
        <f>CLEAN("BRRHB")</f>
        <v>BRRHB</v>
      </c>
      <c r="H75" s="1" t="str">
        <f>CLEAN("OCONTO")</f>
        <v>OCONTO</v>
      </c>
      <c r="I75" s="1" t="str">
        <f>CLEAN("USH")</f>
        <v>USH</v>
      </c>
      <c r="J75" s="1" t="str">
        <f>CLEAN("041")</f>
        <v>041</v>
      </c>
      <c r="K75" s="1" t="str">
        <f>CLEAN("GREEN BAY - OCONTO")</f>
        <v>GREEN BAY - OCONTO</v>
      </c>
      <c r="L75" s="1" t="str">
        <f>CLEAN("LITTLE SUAMICO RIVER BRIDGE")</f>
        <v>LITTLE SUAMICO RIVER BRIDGE</v>
      </c>
      <c r="M75" s="1" t="str">
        <f>CLEAN("B-42-19 S.B OVERLAY")</f>
        <v>B-42-19 S.B OVERLAY</v>
      </c>
      <c r="N75" s="1">
        <v>1.6E-2</v>
      </c>
    </row>
    <row r="76" spans="1:14" x14ac:dyDescent="0.2">
      <c r="A76" s="1" t="str">
        <f>CLEAN("1491-22-71")</f>
        <v>1491-22-71</v>
      </c>
      <c r="B76" s="1" t="str">
        <f t="shared" si="8"/>
        <v>303</v>
      </c>
      <c r="C76" s="1" t="str">
        <f t="shared" si="9"/>
        <v>LET</v>
      </c>
      <c r="D76" s="2">
        <v>44682</v>
      </c>
      <c r="E76" s="1">
        <v>2023</v>
      </c>
      <c r="F76" s="1" t="str">
        <f>CLEAN("08/09/2022")</f>
        <v>08/09/2022</v>
      </c>
      <c r="G76" s="1" t="str">
        <f>CLEAN("RSRF30")</f>
        <v>RSRF30</v>
      </c>
      <c r="H76" s="1" t="str">
        <f>CLEAN("MARINETTE")</f>
        <v>MARINETTE</v>
      </c>
      <c r="I76" s="1" t="str">
        <f>CLEAN("USH")</f>
        <v>USH</v>
      </c>
      <c r="J76" s="1" t="str">
        <f>CLEAN("141")</f>
        <v>141</v>
      </c>
      <c r="K76" s="1" t="str">
        <f>CLEAN("WAUSAUKEE-NIAGARA")</f>
        <v>WAUSAUKEE-NIAGARA</v>
      </c>
      <c r="L76" s="1" t="str">
        <f>CLEAN("CTH Z-CTH R")</f>
        <v>CTH Z-CTH R</v>
      </c>
      <c r="M76" s="1" t="str">
        <f>CLEAN("CONST/RESURF")</f>
        <v>CONST/RESURF</v>
      </c>
      <c r="N76" s="1">
        <v>3.77</v>
      </c>
    </row>
    <row r="77" spans="1:14" x14ac:dyDescent="0.2">
      <c r="A77" s="1" t="str">
        <f>CLEAN("4080-06-71")</f>
        <v>4080-06-71</v>
      </c>
      <c r="B77" s="1" t="str">
        <f t="shared" si="8"/>
        <v>303</v>
      </c>
      <c r="C77" s="1" t="str">
        <f t="shared" si="9"/>
        <v>LET</v>
      </c>
      <c r="D77" s="2">
        <v>44682</v>
      </c>
      <c r="E77" s="1">
        <v>2023</v>
      </c>
      <c r="F77" s="1" t="str">
        <f>CLEAN("09/13/2022")</f>
        <v>09/13/2022</v>
      </c>
      <c r="G77" s="1" t="str">
        <f>CLEAN("BRRPL")</f>
        <v>BRRPL</v>
      </c>
      <c r="H77" s="1" t="str">
        <f>CLEAN("FOND DU LAC")</f>
        <v>FOND DU LAC</v>
      </c>
      <c r="I77" s="1" t="str">
        <f>CLEAN("USH")</f>
        <v>USH</v>
      </c>
      <c r="J77" s="1" t="str">
        <f>CLEAN("045")</f>
        <v>045</v>
      </c>
      <c r="K77" s="1" t="str">
        <f>CLEAN("KEWASKUM-EDEN")</f>
        <v>KEWASKUM-EDEN</v>
      </c>
      <c r="L77" s="1" t="str">
        <f>CLEAN("MILWAUKEE RIVER BRIDGE")</f>
        <v>MILWAUKEE RIVER BRIDGE</v>
      </c>
      <c r="M77" s="1" t="str">
        <f>CLEAN("CONST/BRIDGE REPLACEMENT B-20-0154")</f>
        <v>CONST/BRIDGE REPLACEMENT B-20-0154</v>
      </c>
      <c r="N77" s="1">
        <v>0</v>
      </c>
    </row>
    <row r="78" spans="1:14" x14ac:dyDescent="0.2">
      <c r="A78" s="1" t="str">
        <f>CLEAN("4140-34-60")</f>
        <v>4140-34-60</v>
      </c>
      <c r="B78" s="1" t="str">
        <f t="shared" si="8"/>
        <v>303</v>
      </c>
      <c r="C78" s="1" t="str">
        <f t="shared" si="9"/>
        <v>LET</v>
      </c>
      <c r="D78" s="2">
        <v>44317</v>
      </c>
      <c r="E78" s="1">
        <v>2023</v>
      </c>
      <c r="F78" s="1" t="str">
        <f>CLEAN("09/13/2022")</f>
        <v>09/13/2022</v>
      </c>
      <c r="G78" s="1" t="str">
        <f>CLEAN("PSRS40")</f>
        <v>PSRS40</v>
      </c>
      <c r="H78" s="1" t="str">
        <f>CLEAN("DOOR")</f>
        <v>DOOR</v>
      </c>
      <c r="I78" s="1" t="str">
        <f>CLEAN("STH")</f>
        <v>STH</v>
      </c>
      <c r="J78" s="1" t="str">
        <f>CLEAN("042")</f>
        <v>042</v>
      </c>
      <c r="K78" s="1" t="str">
        <f>CLEAN("EGG HARBOR-FISH CREEK")</f>
        <v>EGG HARBOR-FISH CREEK</v>
      </c>
      <c r="L78" s="1" t="str">
        <f>CLEAN("RAINBOW RIDGE RD-BLUFF LN")</f>
        <v>RAINBOW RIDGE RD-BLUFF LN</v>
      </c>
      <c r="M78" s="1" t="str">
        <f>CLEAN("CONST/PSRS40")</f>
        <v>CONST/PSRS40</v>
      </c>
      <c r="N78" s="1">
        <v>7.0419999999999998</v>
      </c>
    </row>
    <row r="79" spans="1:14" x14ac:dyDescent="0.2">
      <c r="A79" s="1" t="str">
        <f>CLEAN("4610-10-60")</f>
        <v>4610-10-60</v>
      </c>
      <c r="B79" s="1" t="str">
        <f t="shared" si="8"/>
        <v>303</v>
      </c>
      <c r="C79" s="1" t="str">
        <f t="shared" si="9"/>
        <v>LET</v>
      </c>
      <c r="D79" s="2">
        <v>43952</v>
      </c>
      <c r="E79" s="1">
        <v>2023</v>
      </c>
      <c r="F79" s="1" t="str">
        <f>CLEAN("09/13/2022")</f>
        <v>09/13/2022</v>
      </c>
      <c r="G79" s="1" t="str">
        <f>CLEAN("PSRS40")</f>
        <v>PSRS40</v>
      </c>
      <c r="H79" s="1" t="str">
        <f>CLEAN("DOOR")</f>
        <v>DOOR</v>
      </c>
      <c r="I79" s="1" t="str">
        <f>CLEAN("STH")</f>
        <v>STH</v>
      </c>
      <c r="J79" s="1" t="str">
        <f>CLEAN("042")</f>
        <v>042</v>
      </c>
      <c r="K79" s="1" t="str">
        <f>CLEAN("SISTER BAY-GILLS ROCK")</f>
        <v>SISTER BAY-GILLS ROCK</v>
      </c>
      <c r="L79" s="1" t="str">
        <f>CLEAN("SCANDIA RD-WISCONSIN BAY RD")</f>
        <v>SCANDIA RD-WISCONSIN BAY RD</v>
      </c>
      <c r="M79" s="1" t="str">
        <f>CLEAN("CONST/RDMTN-PSRS40")</f>
        <v>CONST/RDMTN-PSRS40</v>
      </c>
      <c r="N79" s="1">
        <v>9.8699999999999992</v>
      </c>
    </row>
    <row r="80" spans="1:14" x14ac:dyDescent="0.2">
      <c r="A80" s="1" t="str">
        <f>CLEAN("9180-25-71")</f>
        <v>9180-25-71</v>
      </c>
      <c r="B80" s="1" t="str">
        <f t="shared" si="8"/>
        <v>303</v>
      </c>
      <c r="C80" s="1" t="str">
        <f t="shared" si="9"/>
        <v>LET</v>
      </c>
      <c r="D80" s="2">
        <v>44501</v>
      </c>
      <c r="E80" s="1">
        <v>2023</v>
      </c>
      <c r="F80" s="1" t="str">
        <f>CLEAN("09/13/2022")</f>
        <v>09/13/2022</v>
      </c>
      <c r="G80" s="1" t="str">
        <f>CLEAN("RSRF20")</f>
        <v>RSRF20</v>
      </c>
      <c r="H80" s="1" t="str">
        <f>CLEAN("OCONTO")</f>
        <v>OCONTO</v>
      </c>
      <c r="I80" s="1" t="str">
        <f>CLEAN("STH")</f>
        <v>STH</v>
      </c>
      <c r="J80" s="1" t="str">
        <f>CLEAN("022")</f>
        <v>022</v>
      </c>
      <c r="K80" s="1" t="str">
        <f>CLEAN("SHAWANO-GILLETT")</f>
        <v>SHAWANO-GILLETT</v>
      </c>
      <c r="L80" s="1" t="str">
        <f>CLEAN("SCL-FINNEGAN LAKE RD")</f>
        <v>SCL-FINNEGAN LAKE RD</v>
      </c>
      <c r="M80" s="1" t="str">
        <f>CLEAN("CONST/RESURF RW-Y")</f>
        <v>CONST/RESURF RW-Y</v>
      </c>
      <c r="N80" s="1">
        <v>3.35</v>
      </c>
    </row>
    <row r="81" spans="1:14" x14ac:dyDescent="0.2">
      <c r="A81" s="1" t="str">
        <f>CLEAN("4685-33-71")</f>
        <v>4685-33-71</v>
      </c>
      <c r="B81" s="1" t="str">
        <f t="shared" si="8"/>
        <v>303</v>
      </c>
      <c r="C81" s="1" t="str">
        <f t="shared" si="9"/>
        <v>LET</v>
      </c>
      <c r="D81" s="2">
        <v>44774</v>
      </c>
      <c r="E81" s="1">
        <v>2023</v>
      </c>
      <c r="F81" s="1" t="str">
        <f t="shared" ref="F81:F100" si="12">CLEAN("11/08/2022")</f>
        <v>11/08/2022</v>
      </c>
      <c r="G81" s="1" t="str">
        <f>CLEAN("BRRHB")</f>
        <v>BRRHB</v>
      </c>
      <c r="H81" s="1" t="str">
        <f>CLEAN("WINNEBAGO")</f>
        <v>WINNEBAGO</v>
      </c>
      <c r="I81" s="1" t="str">
        <f>CLEAN("VAR")</f>
        <v>VAR</v>
      </c>
      <c r="J81" s="1" t="str">
        <f>CLEAN("HWY")</f>
        <v>HWY</v>
      </c>
      <c r="K81" s="1" t="str">
        <f>CLEAN("MENASHA - APPLETON")</f>
        <v>MENASHA - APPLETON</v>
      </c>
      <c r="L81" s="1" t="str">
        <f>CLEAN("VARIOUS HWY")</f>
        <v>VARIOUS HWY</v>
      </c>
      <c r="M81" s="1" t="str">
        <f>CLEAN("CONSTRUCTION/BRRHB")</f>
        <v>CONSTRUCTION/BRRHB</v>
      </c>
      <c r="N81" s="1">
        <v>1.93</v>
      </c>
    </row>
    <row r="82" spans="1:14" x14ac:dyDescent="0.2">
      <c r="A82" s="1" t="str">
        <f>CLEAN("9210-19-71")</f>
        <v>9210-19-71</v>
      </c>
      <c r="B82" s="1" t="str">
        <f t="shared" si="8"/>
        <v>303</v>
      </c>
      <c r="C82" s="1" t="str">
        <f t="shared" si="9"/>
        <v>LET</v>
      </c>
      <c r="D82" s="2">
        <v>44774</v>
      </c>
      <c r="E82" s="1">
        <v>2023</v>
      </c>
      <c r="F82" s="1" t="str">
        <f t="shared" si="12"/>
        <v>11/08/2022</v>
      </c>
      <c r="G82" s="1" t="str">
        <f>CLEAN("BRRHB")</f>
        <v>BRRHB</v>
      </c>
      <c r="H82" s="1" t="str">
        <f>CLEAN("BROWN")</f>
        <v>BROWN</v>
      </c>
      <c r="I82" s="1" t="str">
        <f>CLEAN("STH")</f>
        <v>STH</v>
      </c>
      <c r="J82" s="1" t="str">
        <f>CLEAN("032")</f>
        <v>032</v>
      </c>
      <c r="K82" s="1" t="str">
        <f>CLEAN("W MASON ST  CITY OF GREEN BAY")</f>
        <v>W MASON ST  CITY OF GREEN BAY</v>
      </c>
      <c r="L82" s="1" t="str">
        <f>CLEAN("BEAVER DAM CREEK BRIDGE")</f>
        <v>BEAVER DAM CREEK BRIDGE</v>
      </c>
      <c r="M82" s="1" t="str">
        <f>CLEAN("CONST/BRRPL BOX CULVERT")</f>
        <v>CONST/BRRPL BOX CULVERT</v>
      </c>
      <c r="N82" s="1">
        <v>3.2000000000000001E-2</v>
      </c>
    </row>
    <row r="83" spans="1:14" x14ac:dyDescent="0.2">
      <c r="A83" s="1" t="str">
        <f>CLEAN("1110-15-71")</f>
        <v>1110-15-71</v>
      </c>
      <c r="B83" s="1" t="str">
        <f t="shared" si="8"/>
        <v>303</v>
      </c>
      <c r="C83" s="1" t="str">
        <f t="shared" si="9"/>
        <v>LET</v>
      </c>
      <c r="D83" s="2">
        <v>44774</v>
      </c>
      <c r="E83" s="1">
        <v>2023</v>
      </c>
      <c r="F83" s="1" t="str">
        <f t="shared" si="12"/>
        <v>11/08/2022</v>
      </c>
      <c r="G83" s="1" t="str">
        <f>CLEAN("BRRPL")</f>
        <v>BRRPL</v>
      </c>
      <c r="H83" s="1" t="str">
        <f>CLEAN("FOND DU LAC")</f>
        <v>FOND DU LAC</v>
      </c>
      <c r="I83" s="1" t="str">
        <f>CLEAN("STH")</f>
        <v>STH</v>
      </c>
      <c r="J83" s="1" t="str">
        <f>CLEAN("026")</f>
        <v>026</v>
      </c>
      <c r="K83" s="1" t="str">
        <f>CLEAN("ROSENDALE-OSHKOSH")</f>
        <v>ROSENDALE-OSHKOSH</v>
      </c>
      <c r="L83" s="1" t="str">
        <f>CLEAN("STH 23 - CTH FF")</f>
        <v>STH 23 - CTH FF</v>
      </c>
      <c r="M83" s="1" t="str">
        <f>CLEAN("CONST/BRIDGE REPLACE B-20-0651")</f>
        <v>CONST/BRIDGE REPLACE B-20-0651</v>
      </c>
      <c r="N83" s="1">
        <v>0</v>
      </c>
    </row>
    <row r="84" spans="1:14" x14ac:dyDescent="0.2">
      <c r="A84" s="1" t="str">
        <f>CLEAN("1500-71-71")</f>
        <v>1500-71-71</v>
      </c>
      <c r="B84" s="1" t="str">
        <f t="shared" si="8"/>
        <v>303</v>
      </c>
      <c r="C84" s="1" t="str">
        <f t="shared" si="9"/>
        <v>LET</v>
      </c>
      <c r="D84" s="2">
        <v>44774</v>
      </c>
      <c r="E84" s="1">
        <v>2023</v>
      </c>
      <c r="F84" s="1" t="str">
        <f t="shared" si="12"/>
        <v>11/08/2022</v>
      </c>
      <c r="G84" s="1" t="str">
        <f>CLEAN("BRRPL")</f>
        <v>BRRPL</v>
      </c>
      <c r="H84" s="1" t="str">
        <f>CLEAN("MANITOWOC")</f>
        <v>MANITOWOC</v>
      </c>
      <c r="I84" s="1" t="str">
        <f>CLEAN("USH")</f>
        <v>USH</v>
      </c>
      <c r="J84" s="1" t="str">
        <f>CLEAN("010")</f>
        <v>010</v>
      </c>
      <c r="K84" s="1" t="str">
        <f>CLEAN("BRILLION-REEDSVILLE")</f>
        <v>BRILLION-REEDSVILLE</v>
      </c>
      <c r="L84" s="1" t="str">
        <f>CLEAN("UNNAMED CREEK BOX CULVERT C360058")</f>
        <v>UNNAMED CREEK BOX CULVERT C360058</v>
      </c>
      <c r="M84" s="1" t="str">
        <f>CLEAN("CONST/BRRPL")</f>
        <v>CONST/BRRPL</v>
      </c>
      <c r="N84" s="1">
        <v>1.2999999999999999E-2</v>
      </c>
    </row>
    <row r="85" spans="1:14" x14ac:dyDescent="0.2">
      <c r="A85" s="1" t="str">
        <f>CLEAN("4085-62-71")</f>
        <v>4085-62-71</v>
      </c>
      <c r="B85" s="1" t="str">
        <f t="shared" si="8"/>
        <v>303</v>
      </c>
      <c r="C85" s="1" t="str">
        <f t="shared" si="9"/>
        <v>LET</v>
      </c>
      <c r="D85" s="2">
        <v>44774</v>
      </c>
      <c r="E85" s="1">
        <v>2023</v>
      </c>
      <c r="F85" s="1" t="str">
        <f t="shared" si="12"/>
        <v>11/08/2022</v>
      </c>
      <c r="G85" s="1" t="str">
        <f>CLEAN("BRRPL")</f>
        <v>BRRPL</v>
      </c>
      <c r="H85" s="1" t="str">
        <f>CLEAN("BROWN")</f>
        <v>BROWN</v>
      </c>
      <c r="I85" s="1" t="str">
        <f t="shared" ref="I85:I95" si="13">CLEAN("STH")</f>
        <v>STH</v>
      </c>
      <c r="J85" s="1" t="str">
        <f>CLEAN("032")</f>
        <v>032</v>
      </c>
      <c r="K85" s="1" t="str">
        <f>CLEAN("CITY OF DE PERE  GREENLEAF ROAD")</f>
        <v>CITY OF DE PERE  GREENLEAF ROAD</v>
      </c>
      <c r="L85" s="1" t="str">
        <f>CLEAN("STH 32 NORTHBOUND OVER CTH PP")</f>
        <v>STH 32 NORTHBOUND OVER CTH PP</v>
      </c>
      <c r="M85" s="1" t="str">
        <f>CLEAN("CONST/BRIDGE REPLACE B-05-0052")</f>
        <v>CONST/BRIDGE REPLACE B-05-0052</v>
      </c>
      <c r="N85" s="1">
        <v>0</v>
      </c>
    </row>
    <row r="86" spans="1:14" x14ac:dyDescent="0.2">
      <c r="A86" s="1" t="str">
        <f>CLEAN("4570-24-71")</f>
        <v>4570-24-71</v>
      </c>
      <c r="B86" s="1" t="str">
        <f t="shared" si="8"/>
        <v>303</v>
      </c>
      <c r="C86" s="1" t="str">
        <f t="shared" si="9"/>
        <v>LET</v>
      </c>
      <c r="D86" s="2">
        <v>44317</v>
      </c>
      <c r="E86" s="1">
        <v>2023</v>
      </c>
      <c r="F86" s="1" t="str">
        <f t="shared" si="12"/>
        <v>11/08/2022</v>
      </c>
      <c r="G86" s="1" t="str">
        <f>CLEAN("BRRPL")</f>
        <v>BRRPL</v>
      </c>
      <c r="H86" s="1" t="str">
        <f>CLEAN("MANITOWOC")</f>
        <v>MANITOWOC</v>
      </c>
      <c r="I86" s="1" t="str">
        <f t="shared" si="13"/>
        <v>STH</v>
      </c>
      <c r="J86" s="1" t="str">
        <f>CLEAN("042")</f>
        <v>042</v>
      </c>
      <c r="K86" s="1" t="str">
        <f>CLEAN("HOWARDS GROVE-MANITOWOC")</f>
        <v>HOWARDS GROVE-MANITOWOC</v>
      </c>
      <c r="L86" s="1" t="str">
        <f>CLEAN("SILVER CREEK BRIDGE")</f>
        <v>SILVER CREEK BRIDGE</v>
      </c>
      <c r="M86" s="1" t="str">
        <f>CLEAN("CONST/BRIDGE REPLACEMENT")</f>
        <v>CONST/BRIDGE REPLACEMENT</v>
      </c>
      <c r="N86" s="1">
        <v>0</v>
      </c>
    </row>
    <row r="87" spans="1:14" x14ac:dyDescent="0.2">
      <c r="A87" s="1" t="str">
        <f>CLEAN("1480-29-71")</f>
        <v>1480-29-71</v>
      </c>
      <c r="B87" s="1" t="str">
        <f t="shared" si="8"/>
        <v>303</v>
      </c>
      <c r="C87" s="1" t="str">
        <f t="shared" si="9"/>
        <v>LET</v>
      </c>
      <c r="D87" s="2">
        <v>44774</v>
      </c>
      <c r="E87" s="1">
        <v>2023</v>
      </c>
      <c r="F87" s="1" t="str">
        <f t="shared" si="12"/>
        <v>11/08/2022</v>
      </c>
      <c r="G87" s="1" t="str">
        <f>CLEAN("MISC")</f>
        <v>MISC</v>
      </c>
      <c r="H87" s="1" t="str">
        <f>CLEAN("BROWN")</f>
        <v>BROWN</v>
      </c>
      <c r="I87" s="1" t="str">
        <f t="shared" si="13"/>
        <v>STH</v>
      </c>
      <c r="J87" s="1" t="str">
        <f>CLEAN("057")</f>
        <v>057</v>
      </c>
      <c r="K87" s="1" t="str">
        <f>CLEAN("GREEN BAY - DYCKESVILLE")</f>
        <v>GREEN BAY - DYCKESVILLE</v>
      </c>
      <c r="L87" s="1" t="str">
        <f>CLEAN("CTH K INTERSECTION")</f>
        <v>CTH K INTERSECTION</v>
      </c>
      <c r="M87" s="1" t="str">
        <f>CLEAN("CONST/ HSIP")</f>
        <v>CONST/ HSIP</v>
      </c>
      <c r="N87" s="1">
        <v>1.4E-2</v>
      </c>
    </row>
    <row r="88" spans="1:14" x14ac:dyDescent="0.2">
      <c r="A88" s="1" t="str">
        <f>CLEAN("9200-10-73")</f>
        <v>9200-10-73</v>
      </c>
      <c r="B88" s="1" t="str">
        <f t="shared" si="8"/>
        <v>303</v>
      </c>
      <c r="C88" s="1" t="str">
        <f t="shared" si="9"/>
        <v>LET</v>
      </c>
      <c r="D88" s="2">
        <v>44774</v>
      </c>
      <c r="E88" s="1">
        <v>2023</v>
      </c>
      <c r="F88" s="1" t="str">
        <f t="shared" si="12"/>
        <v>11/08/2022</v>
      </c>
      <c r="G88" s="1" t="str">
        <f>CLEAN("MISC")</f>
        <v>MISC</v>
      </c>
      <c r="H88" s="1" t="str">
        <f>CLEAN("BROWN")</f>
        <v>BROWN</v>
      </c>
      <c r="I88" s="1" t="str">
        <f t="shared" si="13"/>
        <v>STH</v>
      </c>
      <c r="J88" s="1" t="str">
        <f>CLEAN("029")</f>
        <v>029</v>
      </c>
      <c r="K88" s="1" t="str">
        <f>CLEAN("SHAWANO - GREEN BAY")</f>
        <v>SHAWANO - GREEN BAY</v>
      </c>
      <c r="L88" s="1" t="str">
        <f>CLEAN("STH 156 - IH 41")</f>
        <v>STH 156 - IH 41</v>
      </c>
      <c r="M88" s="1" t="str">
        <f>CLEAN("CONSTR/ FENCING")</f>
        <v>CONSTR/ FENCING</v>
      </c>
      <c r="N88" s="1">
        <v>8.3699999999999992</v>
      </c>
    </row>
    <row r="89" spans="1:14" x14ac:dyDescent="0.2">
      <c r="A89" s="1" t="str">
        <f>CLEAN("6517-15-60")</f>
        <v>6517-15-60</v>
      </c>
      <c r="B89" s="1" t="str">
        <f t="shared" si="8"/>
        <v>303</v>
      </c>
      <c r="C89" s="1" t="str">
        <f t="shared" si="9"/>
        <v>LET</v>
      </c>
      <c r="D89" s="2">
        <v>44774</v>
      </c>
      <c r="E89" s="1">
        <v>2023</v>
      </c>
      <c r="F89" s="1" t="str">
        <f t="shared" si="12"/>
        <v>11/08/2022</v>
      </c>
      <c r="G89" s="1" t="str">
        <f>CLEAN("PSRS40")</f>
        <v>PSRS40</v>
      </c>
      <c r="H89" s="1" t="str">
        <f>CLEAN("OUTAGAMIE")</f>
        <v>OUTAGAMIE</v>
      </c>
      <c r="I89" s="1" t="str">
        <f t="shared" si="13"/>
        <v>STH</v>
      </c>
      <c r="J89" s="1" t="str">
        <f>CLEAN("076")</f>
        <v>076</v>
      </c>
      <c r="K89" s="1" t="str">
        <f>CLEAN("STEPHENSVILLE-SHIOCTON")</f>
        <v>STEPHENSVILLE-SHIOCTON</v>
      </c>
      <c r="L89" s="1" t="str">
        <f>CLEAN("SOUTH JCT S-STH 54")</f>
        <v>SOUTH JCT S-STH 54</v>
      </c>
      <c r="M89" s="1" t="str">
        <f>CLEAN("CONST/RESURF")</f>
        <v>CONST/RESURF</v>
      </c>
      <c r="N89" s="1">
        <v>4.6500000000000004</v>
      </c>
    </row>
    <row r="90" spans="1:14" x14ac:dyDescent="0.2">
      <c r="A90" s="1" t="str">
        <f>CLEAN("4580-10-71")</f>
        <v>4580-10-71</v>
      </c>
      <c r="B90" s="1" t="str">
        <f t="shared" si="8"/>
        <v>303</v>
      </c>
      <c r="C90" s="1" t="str">
        <f t="shared" si="9"/>
        <v>LET</v>
      </c>
      <c r="D90" s="2">
        <v>44317</v>
      </c>
      <c r="E90" s="1">
        <v>2023</v>
      </c>
      <c r="F90" s="1" t="str">
        <f t="shared" si="12"/>
        <v>11/08/2022</v>
      </c>
      <c r="G90" s="1" t="str">
        <f>CLEAN("RCND10")</f>
        <v>RCND10</v>
      </c>
      <c r="H90" s="1" t="str">
        <f>CLEAN("CALUMET")</f>
        <v>CALUMET</v>
      </c>
      <c r="I90" s="1" t="str">
        <f t="shared" si="13"/>
        <v>STH</v>
      </c>
      <c r="J90" s="1" t="str">
        <f>CLEAN("114")</f>
        <v>114</v>
      </c>
      <c r="K90" s="1" t="str">
        <f>CLEAN("MENASHA-HILBERT")</f>
        <v>MENASHA-HILBERT</v>
      </c>
      <c r="L90" s="1" t="str">
        <f>CLEAN("USH 10-VILLAGE OF SHERWOOD")</f>
        <v>USH 10-VILLAGE OF SHERWOOD</v>
      </c>
      <c r="M90" s="1" t="str">
        <f>CLEAN("CONST/RECOND")</f>
        <v>CONST/RECOND</v>
      </c>
      <c r="N90" s="1">
        <v>3.79</v>
      </c>
    </row>
    <row r="91" spans="1:14" x14ac:dyDescent="0.2">
      <c r="A91" s="1" t="str">
        <f>CLEAN("1146-75-76")</f>
        <v>1146-75-76</v>
      </c>
      <c r="B91" s="1" t="str">
        <f>CLEAN("302")</f>
        <v>302</v>
      </c>
      <c r="C91" s="1" t="str">
        <f t="shared" si="9"/>
        <v>LET</v>
      </c>
      <c r="D91" s="2">
        <v>44774</v>
      </c>
      <c r="E91" s="1">
        <v>2023</v>
      </c>
      <c r="F91" s="1" t="str">
        <f t="shared" si="12"/>
        <v>11/08/2022</v>
      </c>
      <c r="G91" s="1" t="str">
        <f>CLEAN("RECSTE")</f>
        <v>RECSTE</v>
      </c>
      <c r="H91" s="1" t="str">
        <f>CLEAN("OUTAGAMIE")</f>
        <v>OUTAGAMIE</v>
      </c>
      <c r="I91" s="1" t="str">
        <f t="shared" si="13"/>
        <v>STH</v>
      </c>
      <c r="J91" s="1" t="str">
        <f>CLEAN("015")</f>
        <v>015</v>
      </c>
      <c r="K91" s="1" t="str">
        <f>CLEAN("STH 76-NEW LONDON")</f>
        <v>STH 76-NEW LONDON</v>
      </c>
      <c r="L91" s="1" t="str">
        <f>CLEAN("CTH T-WI CENTRAL RR")</f>
        <v>CTH T-WI CENTRAL RR</v>
      </c>
      <c r="M91" s="1" t="str">
        <f>CLEAN("CONST/RECSTE ADDITION LANES")</f>
        <v>CONST/RECSTE ADDITION LANES</v>
      </c>
      <c r="N91" s="1">
        <v>3.92</v>
      </c>
    </row>
    <row r="92" spans="1:14" x14ac:dyDescent="0.2">
      <c r="A92" s="1" t="str">
        <f>CLEAN("1146-75-77")</f>
        <v>1146-75-77</v>
      </c>
      <c r="B92" s="1" t="str">
        <f>CLEAN("302")</f>
        <v>302</v>
      </c>
      <c r="C92" s="1" t="str">
        <f t="shared" si="9"/>
        <v>LET</v>
      </c>
      <c r="D92" s="2">
        <v>44774</v>
      </c>
      <c r="E92" s="1">
        <v>2023</v>
      </c>
      <c r="F92" s="1" t="str">
        <f t="shared" si="12"/>
        <v>11/08/2022</v>
      </c>
      <c r="G92" s="1" t="str">
        <f>CLEAN("RECSTE")</f>
        <v>RECSTE</v>
      </c>
      <c r="H92" s="1" t="str">
        <f>CLEAN("OUTAGAMIE")</f>
        <v>OUTAGAMIE</v>
      </c>
      <c r="I92" s="1" t="str">
        <f t="shared" si="13"/>
        <v>STH</v>
      </c>
      <c r="J92" s="1" t="str">
        <f>CLEAN("015")</f>
        <v>015</v>
      </c>
      <c r="K92" s="1" t="str">
        <f>CLEAN("STH 76-NEW LONDON")</f>
        <v>STH 76-NEW LONDON</v>
      </c>
      <c r="L92" s="1" t="str">
        <f>CLEAN("WI CENTRAL RR-CTH JJ")</f>
        <v>WI CENTRAL RR-CTH JJ</v>
      </c>
      <c r="M92" s="1" t="str">
        <f>CLEAN("CONST/RECSTE ADDITION LANES")</f>
        <v>CONST/RECSTE ADDITION LANES</v>
      </c>
      <c r="N92" s="1">
        <v>3.92</v>
      </c>
    </row>
    <row r="93" spans="1:14" x14ac:dyDescent="0.2">
      <c r="A93" s="1" t="str">
        <f>CLEAN("1210-11-71")</f>
        <v>1210-11-71</v>
      </c>
      <c r="B93" s="1" t="str">
        <f t="shared" ref="B93:B112" si="14">CLEAN("303")</f>
        <v>303</v>
      </c>
      <c r="C93" s="1" t="str">
        <f t="shared" si="9"/>
        <v>LET</v>
      </c>
      <c r="D93" s="2">
        <v>44774</v>
      </c>
      <c r="E93" s="1">
        <v>2023</v>
      </c>
      <c r="F93" s="1" t="str">
        <f t="shared" si="12"/>
        <v>11/08/2022</v>
      </c>
      <c r="G93" s="1" t="str">
        <f>CLEAN("RSRF10")</f>
        <v>RSRF10</v>
      </c>
      <c r="H93" s="1" t="str">
        <f>CLEAN("BROWN")</f>
        <v>BROWN</v>
      </c>
      <c r="I93" s="1" t="str">
        <f t="shared" si="13"/>
        <v>STH</v>
      </c>
      <c r="J93" s="1" t="str">
        <f>CLEAN("172")</f>
        <v>172</v>
      </c>
      <c r="K93" s="1" t="str">
        <f>CLEAN("ONEIDA-GREEN BAY")</f>
        <v>ONEIDA-GREEN BAY</v>
      </c>
      <c r="L93" s="1" t="str">
        <f>CLEAN("AIRPORT ENTRANCE-IH 41")</f>
        <v>AIRPORT ENTRANCE-IH 41</v>
      </c>
      <c r="M93" s="1" t="str">
        <f>CLEAN("CONST/RESURF")</f>
        <v>CONST/RESURF</v>
      </c>
      <c r="N93" s="1">
        <v>2.82</v>
      </c>
    </row>
    <row r="94" spans="1:14" x14ac:dyDescent="0.2">
      <c r="A94" s="1" t="str">
        <f>CLEAN("6230-14-72")</f>
        <v>6230-14-72</v>
      </c>
      <c r="B94" s="1" t="str">
        <f t="shared" si="14"/>
        <v>303</v>
      </c>
      <c r="C94" s="1" t="str">
        <f t="shared" si="9"/>
        <v>LET</v>
      </c>
      <c r="D94" s="2">
        <v>44774</v>
      </c>
      <c r="E94" s="1">
        <v>2023</v>
      </c>
      <c r="F94" s="1" t="str">
        <f t="shared" si="12"/>
        <v>11/08/2022</v>
      </c>
      <c r="G94" s="1" t="str">
        <f>CLEAN("RSRF10")</f>
        <v>RSRF10</v>
      </c>
      <c r="H94" s="1" t="str">
        <f>CLEAN("OUTAGAMIE")</f>
        <v>OUTAGAMIE</v>
      </c>
      <c r="I94" s="1" t="str">
        <f t="shared" si="13"/>
        <v>STH</v>
      </c>
      <c r="J94" s="1" t="str">
        <f>CLEAN("054")</f>
        <v>054</v>
      </c>
      <c r="K94" s="1" t="str">
        <f>CLEAN("E. STATE STREET  V. OF BLACK CREEK")</f>
        <v>E. STATE STREET  V. OF BLACK CREEK</v>
      </c>
      <c r="L94" s="1" t="str">
        <f>CLEAN("TOWER DRIVE - N BEECH STREET")</f>
        <v>TOWER DRIVE - N BEECH STREET</v>
      </c>
      <c r="M94" s="1" t="str">
        <f>CLEAN("CONST/ PVRPL")</f>
        <v>CONST/ PVRPL</v>
      </c>
      <c r="N94" s="1">
        <v>0.38900000000000001</v>
      </c>
    </row>
    <row r="95" spans="1:14" x14ac:dyDescent="0.2">
      <c r="A95" s="1" t="str">
        <f>CLEAN("9160-17-71")</f>
        <v>9160-17-71</v>
      </c>
      <c r="B95" s="1" t="str">
        <f t="shared" si="14"/>
        <v>303</v>
      </c>
      <c r="C95" s="1" t="str">
        <f t="shared" si="9"/>
        <v>LET</v>
      </c>
      <c r="D95" s="2">
        <v>44774</v>
      </c>
      <c r="E95" s="1">
        <v>2023</v>
      </c>
      <c r="F95" s="1" t="str">
        <f t="shared" si="12"/>
        <v>11/08/2022</v>
      </c>
      <c r="G95" s="1" t="str">
        <f>CLEAN("RSRF10")</f>
        <v>RSRF10</v>
      </c>
      <c r="H95" s="1" t="str">
        <f>CLEAN("MARINETTE")</f>
        <v>MARINETTE</v>
      </c>
      <c r="I95" s="1" t="str">
        <f t="shared" si="13"/>
        <v>STH</v>
      </c>
      <c r="J95" s="1" t="str">
        <f>CLEAN("064")</f>
        <v>064</v>
      </c>
      <c r="K95" s="1" t="str">
        <f>CLEAN("POUND-MARINETTE")</f>
        <v>POUND-MARINETTE</v>
      </c>
      <c r="L95" s="1" t="str">
        <f>CLEAN("USH 141-CTH E")</f>
        <v>USH 141-CTH E</v>
      </c>
      <c r="M95" s="1" t="str">
        <f>CLEAN("CONST/RESURF MILL/OVERLAY")</f>
        <v>CONST/RESURF MILL/OVERLAY</v>
      </c>
      <c r="N95" s="1">
        <v>10.76</v>
      </c>
    </row>
    <row r="96" spans="1:14" x14ac:dyDescent="0.2">
      <c r="A96" s="1" t="str">
        <f>CLEAN("1227-12-72")</f>
        <v>1227-12-72</v>
      </c>
      <c r="B96" s="1" t="str">
        <f t="shared" si="14"/>
        <v>303</v>
      </c>
      <c r="C96" s="1" t="str">
        <f t="shared" si="9"/>
        <v>LET</v>
      </c>
      <c r="D96" s="2">
        <v>44409</v>
      </c>
      <c r="E96" s="1">
        <v>2023</v>
      </c>
      <c r="F96" s="1" t="str">
        <f t="shared" si="12"/>
        <v>11/08/2022</v>
      </c>
      <c r="G96" s="1" t="str">
        <f>CLEAN("RSRF20")</f>
        <v>RSRF20</v>
      </c>
      <c r="H96" s="1" t="str">
        <f>CLEAN("MANITOWOC")</f>
        <v>MANITOWOC</v>
      </c>
      <c r="I96" s="1" t="str">
        <f>CLEAN("IH")</f>
        <v>IH</v>
      </c>
      <c r="J96" s="1" t="str">
        <f>CLEAN("043")</f>
        <v>043</v>
      </c>
      <c r="K96" s="1" t="str">
        <f>CLEAN("MANITOWOC-GREEN BAY")</f>
        <v>MANITOWOC-GREEN BAY</v>
      </c>
      <c r="L96" s="1" t="str">
        <f>CLEAN("DEVIL'S RIVER STATE TRAIL-STH 96")</f>
        <v>DEVIL'S RIVER STATE TRAIL-STH 96</v>
      </c>
      <c r="M96" s="1" t="str">
        <f>CLEAN("CONST/RESURF MILL/OVERLAY")</f>
        <v>CONST/RESURF MILL/OVERLAY</v>
      </c>
      <c r="N96" s="1">
        <v>7.73</v>
      </c>
    </row>
    <row r="97" spans="1:14" x14ac:dyDescent="0.2">
      <c r="A97" s="1" t="str">
        <f>CLEAN("4430-21-71")</f>
        <v>4430-21-71</v>
      </c>
      <c r="B97" s="1" t="str">
        <f t="shared" si="14"/>
        <v>303</v>
      </c>
      <c r="C97" s="1" t="str">
        <f t="shared" si="9"/>
        <v>LET</v>
      </c>
      <c r="D97" s="2">
        <v>44774</v>
      </c>
      <c r="E97" s="1">
        <v>2023</v>
      </c>
      <c r="F97" s="1" t="str">
        <f t="shared" si="12"/>
        <v>11/08/2022</v>
      </c>
      <c r="G97" s="1" t="str">
        <f>CLEAN("RSRF20")</f>
        <v>RSRF20</v>
      </c>
      <c r="H97" s="1" t="str">
        <f>CLEAN("DOOR")</f>
        <v>DOOR</v>
      </c>
      <c r="I97" s="1" t="str">
        <f t="shared" ref="I97:I102" si="15">CLEAN("STH")</f>
        <v>STH</v>
      </c>
      <c r="J97" s="1" t="str">
        <f>CLEAN("042")</f>
        <v>042</v>
      </c>
      <c r="K97" s="1" t="str">
        <f>CLEAN("STURGEON BAY - EGG HARBOR")</f>
        <v>STURGEON BAY - EGG HARBOR</v>
      </c>
      <c r="L97" s="1" t="str">
        <f>CLEAN("EGG HARBOR ROAD - MID JCT 42/57")</f>
        <v>EGG HARBOR ROAD - MID JCT 42/57</v>
      </c>
      <c r="M97" s="1" t="str">
        <f>CLEAN("--")</f>
        <v>--</v>
      </c>
      <c r="N97" s="1">
        <v>0.76900000000000002</v>
      </c>
    </row>
    <row r="98" spans="1:14" x14ac:dyDescent="0.2">
      <c r="A98" s="1" t="str">
        <f>CLEAN("4085-33-71")</f>
        <v>4085-33-71</v>
      </c>
      <c r="B98" s="1" t="str">
        <f t="shared" si="14"/>
        <v>303</v>
      </c>
      <c r="C98" s="1" t="str">
        <f t="shared" ref="C98:C124" si="16">CLEAN("LET")</f>
        <v>LET</v>
      </c>
      <c r="D98" s="2">
        <v>43952</v>
      </c>
      <c r="E98" s="1">
        <v>2023</v>
      </c>
      <c r="F98" s="1" t="str">
        <f t="shared" si="12"/>
        <v>11/08/2022</v>
      </c>
      <c r="G98" s="1" t="str">
        <f>CLEAN("RSRF30")</f>
        <v>RSRF30</v>
      </c>
      <c r="H98" s="1" t="str">
        <f>CLEAN("BROWN")</f>
        <v>BROWN</v>
      </c>
      <c r="I98" s="1" t="str">
        <f t="shared" si="15"/>
        <v>STH</v>
      </c>
      <c r="J98" s="1" t="str">
        <f>CLEAN("032")</f>
        <v>032</v>
      </c>
      <c r="K98" s="1" t="str">
        <f>CLEAN("HILBERT-GREEN BAY")</f>
        <v>HILBERT-GREEN BAY</v>
      </c>
      <c r="L98" s="1" t="str">
        <f>CLEAN("SOUTH COUNTY LINE-DUESTER STREET")</f>
        <v>SOUTH COUNTY LINE-DUESTER STREET</v>
      </c>
      <c r="M98" s="1" t="str">
        <f>CLEAN("RESURFACE LEVEL IMPROVEMENT")</f>
        <v>RESURFACE LEVEL IMPROVEMENT</v>
      </c>
      <c r="N98" s="1">
        <v>6.6040000000000001</v>
      </c>
    </row>
    <row r="99" spans="1:14" x14ac:dyDescent="0.2">
      <c r="A99" s="1" t="str">
        <f>CLEAN("4670-10-71")</f>
        <v>4670-10-71</v>
      </c>
      <c r="B99" s="1" t="str">
        <f t="shared" si="14"/>
        <v>303</v>
      </c>
      <c r="C99" s="1" t="str">
        <f t="shared" si="16"/>
        <v>LET</v>
      </c>
      <c r="D99" s="2">
        <v>44317</v>
      </c>
      <c r="E99" s="1">
        <v>2023</v>
      </c>
      <c r="F99" s="1" t="str">
        <f t="shared" si="12"/>
        <v>11/08/2022</v>
      </c>
      <c r="G99" s="1" t="str">
        <f>CLEAN("RSRF30")</f>
        <v>RSRF30</v>
      </c>
      <c r="H99" s="1" t="str">
        <f>CLEAN("CALUMET")</f>
        <v>CALUMET</v>
      </c>
      <c r="I99" s="1" t="str">
        <f t="shared" si="15"/>
        <v>STH</v>
      </c>
      <c r="J99" s="1" t="str">
        <f>CLEAN("055")</f>
        <v>055</v>
      </c>
      <c r="K99" s="1" t="str">
        <f>CLEAN("STOCKBRIDGE - KAUKAUNA")</f>
        <v>STOCKBRIDGE - KAUKAUNA</v>
      </c>
      <c r="L99" s="1" t="str">
        <f>CLEAN("SOUTH JCT STH 114 - CASTLE DRIVE")</f>
        <v>SOUTH JCT STH 114 - CASTLE DRIVE</v>
      </c>
      <c r="M99" s="1" t="str">
        <f>CLEAN("CONST/RESURF  RW-NO")</f>
        <v>CONST/RESURF  RW-NO</v>
      </c>
      <c r="N99" s="1">
        <v>1.39</v>
      </c>
    </row>
    <row r="100" spans="1:14" x14ac:dyDescent="0.2">
      <c r="A100" s="1" t="str">
        <f>CLEAN("6230-14-71")</f>
        <v>6230-14-71</v>
      </c>
      <c r="B100" s="1" t="str">
        <f t="shared" si="14"/>
        <v>303</v>
      </c>
      <c r="C100" s="1" t="str">
        <f t="shared" si="16"/>
        <v>LET</v>
      </c>
      <c r="D100" s="2">
        <v>44774</v>
      </c>
      <c r="E100" s="1">
        <v>2023</v>
      </c>
      <c r="F100" s="1" t="str">
        <f t="shared" si="12"/>
        <v>11/08/2022</v>
      </c>
      <c r="G100" s="1" t="str">
        <f>CLEAN("RSRF30")</f>
        <v>RSRF30</v>
      </c>
      <c r="H100" s="1" t="str">
        <f>CLEAN("OUTAGAMIE")</f>
        <v>OUTAGAMIE</v>
      </c>
      <c r="I100" s="1" t="str">
        <f t="shared" si="15"/>
        <v>STH</v>
      </c>
      <c r="J100" s="1" t="str">
        <f>CLEAN("054")</f>
        <v>054</v>
      </c>
      <c r="K100" s="1" t="str">
        <f>CLEAN("SHIOCTON - SEYMOUR")</f>
        <v>SHIOCTON - SEYMOUR</v>
      </c>
      <c r="L100" s="1" t="str">
        <f>CLEAN("PARK AVENUE - FRENCH ROAD")</f>
        <v>PARK AVENUE - FRENCH ROAD</v>
      </c>
      <c r="M100" s="1" t="str">
        <f>CLEAN("RESUR")</f>
        <v>RESUR</v>
      </c>
      <c r="N100" s="1">
        <v>11.3</v>
      </c>
    </row>
    <row r="101" spans="1:14" x14ac:dyDescent="0.2">
      <c r="A101" s="1" t="str">
        <f>CLEAN("4430-19-71")</f>
        <v>4430-19-71</v>
      </c>
      <c r="B101" s="1" t="str">
        <f t="shared" si="14"/>
        <v>303</v>
      </c>
      <c r="C101" s="1" t="str">
        <f t="shared" si="16"/>
        <v>LET</v>
      </c>
      <c r="D101" s="2">
        <v>44317</v>
      </c>
      <c r="E101" s="1">
        <v>2023</v>
      </c>
      <c r="F101" s="1" t="str">
        <f>CLEAN("12/13/2022")</f>
        <v>12/13/2022</v>
      </c>
      <c r="G101" s="1" t="str">
        <f>CLEAN("RSRF10")</f>
        <v>RSRF10</v>
      </c>
      <c r="H101" s="1" t="str">
        <f>CLEAN("DOOR")</f>
        <v>DOOR</v>
      </c>
      <c r="I101" s="1" t="str">
        <f t="shared" si="15"/>
        <v>STH</v>
      </c>
      <c r="J101" s="1" t="str">
        <f>CLEAN("042")</f>
        <v>042</v>
      </c>
      <c r="K101" s="1" t="str">
        <f>CLEAN("STH 42  CITY OF STURGEON BAY")</f>
        <v>STH 42  CITY OF STURGEON BAY</v>
      </c>
      <c r="L101" s="1" t="str">
        <f>CLEAN("S JUNCTION STH 57-BAY VIEW BRIDGE")</f>
        <v>S JUNCTION STH 57-BAY VIEW BRIDGE</v>
      </c>
      <c r="M101" s="1" t="str">
        <f>CLEAN("CONST/RESURF RW-NO")</f>
        <v>CONST/RESURF RW-NO</v>
      </c>
      <c r="N101" s="1">
        <v>6.77</v>
      </c>
    </row>
    <row r="102" spans="1:14" x14ac:dyDescent="0.2">
      <c r="A102" s="1" t="str">
        <f>CLEAN("1210-09-71")</f>
        <v>1210-09-71</v>
      </c>
      <c r="B102" s="1" t="str">
        <f t="shared" si="14"/>
        <v>303</v>
      </c>
      <c r="C102" s="1" t="str">
        <f t="shared" si="16"/>
        <v>LET</v>
      </c>
      <c r="D102" s="2">
        <v>44774</v>
      </c>
      <c r="E102" s="1">
        <v>2023</v>
      </c>
      <c r="F102" s="1" t="str">
        <f>CLEAN("12/13/2022")</f>
        <v>12/13/2022</v>
      </c>
      <c r="G102" s="1" t="str">
        <f>CLEAN("RSRF20")</f>
        <v>RSRF20</v>
      </c>
      <c r="H102" s="1" t="str">
        <f>CLEAN("BROWN")</f>
        <v>BROWN</v>
      </c>
      <c r="I102" s="1" t="str">
        <f t="shared" si="15"/>
        <v>STH</v>
      </c>
      <c r="J102" s="1" t="str">
        <f>CLEAN("172")</f>
        <v>172</v>
      </c>
      <c r="K102" s="1" t="str">
        <f>CLEAN("IH 41-IH 43")</f>
        <v>IH 41-IH 43</v>
      </c>
      <c r="L102" s="1" t="str">
        <f>CLEAN("IH 41-IH 43")</f>
        <v>IH 41-IH 43</v>
      </c>
      <c r="M102" s="1" t="str">
        <f>CLEAN("CONST/RESURF MILL/OVERLAY")</f>
        <v>CONST/RESURF MILL/OVERLAY</v>
      </c>
      <c r="N102" s="1">
        <v>6.96</v>
      </c>
    </row>
    <row r="103" spans="1:14" x14ac:dyDescent="0.2">
      <c r="A103" s="1" t="str">
        <f>CLEAN("1150-74-71")</f>
        <v>1150-74-71</v>
      </c>
      <c r="B103" s="1" t="str">
        <f t="shared" si="14"/>
        <v>303</v>
      </c>
      <c r="C103" s="1" t="str">
        <f t="shared" si="16"/>
        <v>LET</v>
      </c>
      <c r="D103" s="2">
        <v>44774</v>
      </c>
      <c r="E103" s="1">
        <v>2023</v>
      </c>
      <c r="F103" s="1" t="str">
        <f>CLEAN("01/10/2023")</f>
        <v>01/10/2023</v>
      </c>
      <c r="G103" s="1" t="str">
        <f>CLEAN("BRRHB")</f>
        <v>BRRHB</v>
      </c>
      <c r="H103" s="1" t="str">
        <f>CLEAN("FOND DU LAC")</f>
        <v>FOND DU LAC</v>
      </c>
      <c r="I103" s="1" t="str">
        <f>CLEAN("IH")</f>
        <v>IH</v>
      </c>
      <c r="J103" s="1" t="str">
        <f>CLEAN("041")</f>
        <v>041</v>
      </c>
      <c r="K103" s="1" t="str">
        <f>CLEAN("FOND DU LAC - OSHKOSH")</f>
        <v>FOND DU LAC - OSHKOSH</v>
      </c>
      <c r="L103" s="1" t="str">
        <f>CLEAN("TOWN LINE ROAD OVERPASS")</f>
        <v>TOWN LINE ROAD OVERPASS</v>
      </c>
      <c r="M103" s="1" t="str">
        <f>CLEAN("R/W - NO")</f>
        <v>R/W - NO</v>
      </c>
      <c r="N103" s="1">
        <v>2E-3</v>
      </c>
    </row>
    <row r="104" spans="1:14" x14ac:dyDescent="0.2">
      <c r="A104" s="1" t="str">
        <f>CLEAN("1009-33-27")</f>
        <v>1009-33-27</v>
      </c>
      <c r="B104" s="1" t="str">
        <f t="shared" si="14"/>
        <v>303</v>
      </c>
      <c r="C104" s="1" t="str">
        <f t="shared" si="16"/>
        <v>LET</v>
      </c>
      <c r="D104" s="2">
        <v>44866</v>
      </c>
      <c r="E104" s="1">
        <v>2023</v>
      </c>
      <c r="F104" s="1" t="str">
        <f>CLEAN("03/14/2023")</f>
        <v>03/14/2023</v>
      </c>
      <c r="G104" s="1" t="str">
        <f>CLEAN("BRPVTV")</f>
        <v>BRPVTV</v>
      </c>
      <c r="H104" s="1" t="s">
        <v>6</v>
      </c>
      <c r="I104" s="1" t="str">
        <f>CLEAN("VAR")</f>
        <v>VAR</v>
      </c>
      <c r="J104" s="1" t="str">
        <f>CLEAN("HWY")</f>
        <v>HWY</v>
      </c>
      <c r="K104" s="1" t="str">
        <f>CLEAN("REGION WIDE DECK SEALING FY23")</f>
        <v>REGION WIDE DECK SEALING FY23</v>
      </c>
      <c r="L104" s="1" t="str">
        <f>CLEAN("VARIOUS BACKBONE ROUTES STH")</f>
        <v>VARIOUS BACKBONE ROUTES STH</v>
      </c>
      <c r="M104" s="1" t="str">
        <f>CLEAN("CONST/DECK SEALING FY23")</f>
        <v>CONST/DECK SEALING FY23</v>
      </c>
      <c r="N104" s="1">
        <v>0</v>
      </c>
    </row>
    <row r="105" spans="1:14" x14ac:dyDescent="0.2">
      <c r="A105" s="1" t="str">
        <f>CLEAN("1009-33-34")</f>
        <v>1009-33-34</v>
      </c>
      <c r="B105" s="1" t="str">
        <f t="shared" si="14"/>
        <v>303</v>
      </c>
      <c r="C105" s="1" t="str">
        <f t="shared" si="16"/>
        <v>LET</v>
      </c>
      <c r="D105" s="2">
        <v>44866</v>
      </c>
      <c r="E105" s="1">
        <v>2023</v>
      </c>
      <c r="F105" s="1" t="str">
        <f>CLEAN("03/14/2023")</f>
        <v>03/14/2023</v>
      </c>
      <c r="G105" s="1" t="str">
        <f>CLEAN("BRPVTV")</f>
        <v>BRPVTV</v>
      </c>
      <c r="H105" s="1" t="s">
        <v>6</v>
      </c>
      <c r="I105" s="1" t="str">
        <f>CLEAN("VAR")</f>
        <v>VAR</v>
      </c>
      <c r="J105" s="1" t="str">
        <f>CLEAN("HWY")</f>
        <v>HWY</v>
      </c>
      <c r="K105" s="1" t="str">
        <f>CLEAN("REGION WIDE DECK SEALING FY23")</f>
        <v>REGION WIDE DECK SEALING FY23</v>
      </c>
      <c r="L105" s="1" t="str">
        <f>CLEAN("VARIOUS 3R/LCB ROUTES STH")</f>
        <v>VARIOUS 3R/LCB ROUTES STH</v>
      </c>
      <c r="M105" s="1" t="str">
        <f>CLEAN("CONST/DECK SEALING FY23")</f>
        <v>CONST/DECK SEALING FY23</v>
      </c>
      <c r="N105" s="1">
        <v>0</v>
      </c>
    </row>
    <row r="106" spans="1:14" x14ac:dyDescent="0.2">
      <c r="A106" s="1" t="str">
        <f>CLEAN("4050-23-71")</f>
        <v>4050-23-71</v>
      </c>
      <c r="B106" s="1" t="str">
        <f t="shared" si="14"/>
        <v>303</v>
      </c>
      <c r="C106" s="1" t="str">
        <f t="shared" si="16"/>
        <v>LET</v>
      </c>
      <c r="D106" s="2">
        <v>45047</v>
      </c>
      <c r="E106" s="1">
        <v>2024</v>
      </c>
      <c r="F106" s="1" t="str">
        <f>CLEAN("09/12/2023")</f>
        <v>09/12/2023</v>
      </c>
      <c r="G106" s="1" t="str">
        <f>CLEAN("BRRPL")</f>
        <v>BRRPL</v>
      </c>
      <c r="H106" s="1" t="str">
        <f>CLEAN("FOND DU LAC")</f>
        <v>FOND DU LAC</v>
      </c>
      <c r="I106" s="1" t="str">
        <f>CLEAN("USH")</f>
        <v>USH</v>
      </c>
      <c r="J106" s="1" t="str">
        <f>CLEAN("151")</f>
        <v>151</v>
      </c>
      <c r="K106" s="1" t="str">
        <f>CLEAN("FOND DU LAC-CHILTON")</f>
        <v>FOND DU LAC-CHILTON</v>
      </c>
      <c r="L106" s="1" t="str">
        <f>CLEAN("DRAINAGE WAY CULVERT REPLACEMENT")</f>
        <v>DRAINAGE WAY CULVERT REPLACEMENT</v>
      </c>
      <c r="M106" s="1" t="str">
        <f>CLEAN("CONST/BRRPL")</f>
        <v>CONST/BRRPL</v>
      </c>
      <c r="N106" s="1">
        <v>0.93600000000000005</v>
      </c>
    </row>
    <row r="107" spans="1:14" x14ac:dyDescent="0.2">
      <c r="A107" s="1" t="str">
        <f>CLEAN("4130-11-71")</f>
        <v>4130-11-71</v>
      </c>
      <c r="B107" s="1" t="str">
        <f t="shared" si="14"/>
        <v>303</v>
      </c>
      <c r="C107" s="1" t="str">
        <f t="shared" si="16"/>
        <v>LET</v>
      </c>
      <c r="D107" s="2">
        <v>44866</v>
      </c>
      <c r="E107" s="1">
        <v>2024</v>
      </c>
      <c r="F107" s="1" t="str">
        <f>CLEAN("09/12/2023")</f>
        <v>09/12/2023</v>
      </c>
      <c r="G107" s="1" t="str">
        <f>CLEAN("RSRF20")</f>
        <v>RSRF20</v>
      </c>
      <c r="H107" s="1" t="str">
        <f>CLEAN("KEWAUNEE")</f>
        <v>KEWAUNEE</v>
      </c>
      <c r="I107" s="1" t="str">
        <f t="shared" ref="I107:I122" si="17">CLEAN("STH")</f>
        <v>STH</v>
      </c>
      <c r="J107" s="1" t="str">
        <f>CLEAN("054")</f>
        <v>054</v>
      </c>
      <c r="K107" s="1" t="str">
        <f>CLEAN("LUXEMBURG - ALGOMA")</f>
        <v>LUXEMBURG - ALGOMA</v>
      </c>
      <c r="L107" s="1" t="str">
        <f>CLEAN("VALLEY ROAD - SUNSET AVENUE")</f>
        <v>VALLEY ROAD - SUNSET AVENUE</v>
      </c>
      <c r="M107" s="1" t="str">
        <f>CLEAN("CONST/RESURFACE RURAL")</f>
        <v>CONST/RESURFACE RURAL</v>
      </c>
      <c r="N107" s="1">
        <v>12.78</v>
      </c>
    </row>
    <row r="108" spans="1:14" x14ac:dyDescent="0.2">
      <c r="A108" s="1" t="str">
        <f>CLEAN("1210-18-71")</f>
        <v>1210-18-71</v>
      </c>
      <c r="B108" s="1" t="str">
        <f t="shared" si="14"/>
        <v>303</v>
      </c>
      <c r="C108" s="1" t="str">
        <f t="shared" si="16"/>
        <v>LET</v>
      </c>
      <c r="D108" s="2">
        <v>45139</v>
      </c>
      <c r="E108" s="1">
        <v>2024</v>
      </c>
      <c r="F108" s="1" t="str">
        <f t="shared" ref="F108:F121" si="18">CLEAN("11/14/2023")</f>
        <v>11/14/2023</v>
      </c>
      <c r="G108" s="1" t="str">
        <f>CLEAN("BRRPL")</f>
        <v>BRRPL</v>
      </c>
      <c r="H108" s="1" t="str">
        <f>CLEAN("BROWN")</f>
        <v>BROWN</v>
      </c>
      <c r="I108" s="1" t="str">
        <f t="shared" si="17"/>
        <v>STH</v>
      </c>
      <c r="J108" s="1" t="str">
        <f>CLEAN("172")</f>
        <v>172</v>
      </c>
      <c r="K108" s="1" t="str">
        <f>CLEAN("ONEIDA - GREEN BAY")</f>
        <v>ONEIDA - GREEN BAY</v>
      </c>
      <c r="L108" s="1" t="str">
        <f>CLEAN("UNNAMED CREEK  C-05-0122")</f>
        <v>UNNAMED CREEK  C-05-0122</v>
      </c>
      <c r="M108" s="1" t="str">
        <f>CLEAN("CONST")</f>
        <v>CONST</v>
      </c>
      <c r="N108" s="1">
        <v>1.7000000000000001E-2</v>
      </c>
    </row>
    <row r="109" spans="1:14" x14ac:dyDescent="0.2">
      <c r="A109" s="1" t="str">
        <f>CLEAN("4150-26-71")</f>
        <v>4150-26-71</v>
      </c>
      <c r="B109" s="1" t="str">
        <f t="shared" si="14"/>
        <v>303</v>
      </c>
      <c r="C109" s="1" t="str">
        <f t="shared" si="16"/>
        <v>LET</v>
      </c>
      <c r="D109" s="2">
        <v>45139</v>
      </c>
      <c r="E109" s="1">
        <v>2024</v>
      </c>
      <c r="F109" s="1" t="str">
        <f t="shared" si="18"/>
        <v>11/14/2023</v>
      </c>
      <c r="G109" s="1" t="str">
        <f>CLEAN("BRRPL")</f>
        <v>BRRPL</v>
      </c>
      <c r="H109" s="1" t="str">
        <f>CLEAN("DOOR")</f>
        <v>DOOR</v>
      </c>
      <c r="I109" s="1" t="str">
        <f t="shared" si="17"/>
        <v>STH</v>
      </c>
      <c r="J109" s="1" t="str">
        <f>CLEAN("057")</f>
        <v>057</v>
      </c>
      <c r="K109" s="1" t="str">
        <f>CLEAN("MID JUNCTION - BAILEYS HARBOR")</f>
        <v>MID JUNCTION - BAILEYS HARBOR</v>
      </c>
      <c r="L109" s="1" t="str">
        <f>CLEAN("STH 42 - SUMMIT ROAD")</f>
        <v>STH 42 - SUMMIT ROAD</v>
      </c>
      <c r="M109" s="1" t="str">
        <f>CLEAN("BOX CULVERT REPLACEMENT")</f>
        <v>BOX CULVERT REPLACEMENT</v>
      </c>
      <c r="N109" s="1">
        <v>0.30499999999999999</v>
      </c>
    </row>
    <row r="110" spans="1:14" x14ac:dyDescent="0.2">
      <c r="A110" s="1" t="str">
        <f>CLEAN("6518-07-71")</f>
        <v>6518-07-71</v>
      </c>
      <c r="B110" s="1" t="str">
        <f t="shared" si="14"/>
        <v>303</v>
      </c>
      <c r="C110" s="1" t="str">
        <f t="shared" si="16"/>
        <v>LET</v>
      </c>
      <c r="D110" s="2">
        <v>44866</v>
      </c>
      <c r="E110" s="1">
        <v>2024</v>
      </c>
      <c r="F110" s="1" t="str">
        <f t="shared" si="18"/>
        <v>11/14/2023</v>
      </c>
      <c r="G110" s="1" t="str">
        <f>CLEAN("BRRPL")</f>
        <v>BRRPL</v>
      </c>
      <c r="H110" s="1" t="str">
        <f>CLEAN("OUTAGAMIE")</f>
        <v>OUTAGAMIE</v>
      </c>
      <c r="I110" s="1" t="str">
        <f t="shared" si="17"/>
        <v>STH</v>
      </c>
      <c r="J110" s="1" t="str">
        <f>CLEAN("076")</f>
        <v>076</v>
      </c>
      <c r="K110" s="1" t="str">
        <f>CLEAN("SHIOCTON - NCL")</f>
        <v>SHIOCTON - NCL</v>
      </c>
      <c r="L110" s="1" t="str">
        <f>CLEAN("BOELTER RD - CTH W")</f>
        <v>BOELTER RD - CTH W</v>
      </c>
      <c r="M110" s="1" t="str">
        <f>CLEAN("C-44-919  C-44-022")</f>
        <v>C-44-919  C-44-022</v>
      </c>
      <c r="N110" s="1">
        <v>2.5790000000000002</v>
      </c>
    </row>
    <row r="111" spans="1:14" x14ac:dyDescent="0.2">
      <c r="A111" s="1" t="str">
        <f>CLEAN("6430-20-71")</f>
        <v>6430-20-71</v>
      </c>
      <c r="B111" s="1" t="str">
        <f t="shared" si="14"/>
        <v>303</v>
      </c>
      <c r="C111" s="1" t="str">
        <f t="shared" si="16"/>
        <v>LET</v>
      </c>
      <c r="D111" s="2">
        <v>45139</v>
      </c>
      <c r="E111" s="1">
        <v>2024</v>
      </c>
      <c r="F111" s="1" t="str">
        <f t="shared" si="18"/>
        <v>11/14/2023</v>
      </c>
      <c r="G111" s="1" t="str">
        <f>CLEAN("MISC")</f>
        <v>MISC</v>
      </c>
      <c r="H111" s="1" t="str">
        <f>CLEAN("OUTAGAMIE")</f>
        <v>OUTAGAMIE</v>
      </c>
      <c r="I111" s="1" t="str">
        <f t="shared" si="17"/>
        <v>STH</v>
      </c>
      <c r="J111" s="1" t="str">
        <f>CLEAN("076")</f>
        <v>076</v>
      </c>
      <c r="K111" s="1" t="str">
        <f>CLEAN("STH 96 - STH 15")</f>
        <v>STH 96 - STH 15</v>
      </c>
      <c r="L111" s="1" t="str">
        <f>CLEAN("SCHOOL ROAD INTERSECTION")</f>
        <v>SCHOOL ROAD INTERSECTION</v>
      </c>
      <c r="M111" s="1" t="str">
        <f>CLEAN("HSIP INTERSECTION")</f>
        <v>HSIP INTERSECTION</v>
      </c>
      <c r="N111" s="1">
        <v>3.1E-2</v>
      </c>
    </row>
    <row r="112" spans="1:14" x14ac:dyDescent="0.2">
      <c r="A112" s="1" t="str">
        <f>CLEAN("6100-08-60")</f>
        <v>6100-08-60</v>
      </c>
      <c r="B112" s="1" t="str">
        <f t="shared" si="14"/>
        <v>303</v>
      </c>
      <c r="C112" s="1" t="str">
        <f t="shared" si="16"/>
        <v>LET</v>
      </c>
      <c r="D112" s="2">
        <v>44682</v>
      </c>
      <c r="E112" s="1">
        <v>2024</v>
      </c>
      <c r="F112" s="1" t="str">
        <f t="shared" si="18"/>
        <v>11/14/2023</v>
      </c>
      <c r="G112" s="1" t="str">
        <f>CLEAN("PSRS40")</f>
        <v>PSRS40</v>
      </c>
      <c r="H112" s="1" t="str">
        <f>CLEAN("FOND DU LAC")</f>
        <v>FOND DU LAC</v>
      </c>
      <c r="I112" s="1" t="str">
        <f t="shared" si="17"/>
        <v>STH</v>
      </c>
      <c r="J112" s="1" t="str">
        <f>CLEAN("044")</f>
        <v>044</v>
      </c>
      <c r="K112" s="1" t="str">
        <f>CLEAN("FAIRWATER-BRANDON")</f>
        <v>FAIRWATER-BRANDON</v>
      </c>
      <c r="L112" s="1" t="str">
        <f>CLEAN("WCL-STH 49")</f>
        <v>WCL-STH 49</v>
      </c>
      <c r="M112" s="1" t="str">
        <f>CLEAN("CONST/RESURFACE")</f>
        <v>CONST/RESURFACE</v>
      </c>
      <c r="N112" s="1">
        <v>3.5880000000000001</v>
      </c>
    </row>
    <row r="113" spans="1:14" x14ac:dyDescent="0.2">
      <c r="A113" s="1" t="str">
        <f>CLEAN("1146-75-73")</f>
        <v>1146-75-73</v>
      </c>
      <c r="B113" s="1" t="str">
        <f>CLEAN("302")</f>
        <v>302</v>
      </c>
      <c r="C113" s="1" t="str">
        <f t="shared" si="16"/>
        <v>LET</v>
      </c>
      <c r="D113" s="2">
        <v>45139</v>
      </c>
      <c r="E113" s="1">
        <v>2024</v>
      </c>
      <c r="F113" s="1" t="str">
        <f t="shared" si="18"/>
        <v>11/14/2023</v>
      </c>
      <c r="G113" s="1" t="str">
        <f>CLEAN("RECSTE")</f>
        <v>RECSTE</v>
      </c>
      <c r="H113" s="1" t="str">
        <f>CLEAN("OUTAGAMIE")</f>
        <v>OUTAGAMIE</v>
      </c>
      <c r="I113" s="1" t="str">
        <f t="shared" si="17"/>
        <v>STH</v>
      </c>
      <c r="J113" s="1" t="str">
        <f>CLEAN("015")</f>
        <v>015</v>
      </c>
      <c r="K113" s="1" t="str">
        <f>CLEAN("STH 76-NEW LONDON")</f>
        <v>STH 76-NEW LONDON</v>
      </c>
      <c r="L113" s="1" t="str">
        <f>CLEAN("CTH T/GIVENS ROAD-USH 45")</f>
        <v>CTH T/GIVENS ROAD-USH 45</v>
      </c>
      <c r="M113" s="1" t="str">
        <f>CLEAN("CONST/RECSTE ADDITION LANES")</f>
        <v>CONST/RECSTE ADDITION LANES</v>
      </c>
      <c r="N113" s="1">
        <v>3.26</v>
      </c>
    </row>
    <row r="114" spans="1:14" x14ac:dyDescent="0.2">
      <c r="A114" s="1" t="str">
        <f>CLEAN("4085-60-71")</f>
        <v>4085-60-71</v>
      </c>
      <c r="B114" s="1" t="str">
        <f t="shared" ref="B114:B124" si="19">CLEAN("303")</f>
        <v>303</v>
      </c>
      <c r="C114" s="1" t="str">
        <f t="shared" si="16"/>
        <v>LET</v>
      </c>
      <c r="D114" s="2">
        <v>43952</v>
      </c>
      <c r="E114" s="1">
        <v>2024</v>
      </c>
      <c r="F114" s="1" t="str">
        <f t="shared" si="18"/>
        <v>11/14/2023</v>
      </c>
      <c r="G114" s="1" t="str">
        <f>CLEAN("RSRF10")</f>
        <v>RSRF10</v>
      </c>
      <c r="H114" s="1" t="str">
        <f>CLEAN("CALUMET")</f>
        <v>CALUMET</v>
      </c>
      <c r="I114" s="1" t="str">
        <f t="shared" si="17"/>
        <v>STH</v>
      </c>
      <c r="J114" s="1" t="str">
        <f>CLEAN("032")</f>
        <v>032</v>
      </c>
      <c r="K114" s="1" t="str">
        <f>CLEAN("KIEL-NEW HOLSTEIN")</f>
        <v>KIEL-NEW HOLSTEIN</v>
      </c>
      <c r="L114" s="1" t="str">
        <f>CLEAN("CTH AA-JORDAN AVENUE")</f>
        <v>CTH AA-JORDAN AVENUE</v>
      </c>
      <c r="M114" s="1" t="str">
        <f>CLEAN("R/W-NO")</f>
        <v>R/W-NO</v>
      </c>
      <c r="N114" s="1">
        <v>2.4390000000000001</v>
      </c>
    </row>
    <row r="115" spans="1:14" x14ac:dyDescent="0.2">
      <c r="A115" s="1" t="str">
        <f>CLEAN("6240-29-71")</f>
        <v>6240-29-71</v>
      </c>
      <c r="B115" s="1" t="str">
        <f t="shared" si="19"/>
        <v>303</v>
      </c>
      <c r="C115" s="1" t="str">
        <f t="shared" si="16"/>
        <v>LET</v>
      </c>
      <c r="D115" s="2">
        <v>44317</v>
      </c>
      <c r="E115" s="1">
        <v>2024</v>
      </c>
      <c r="F115" s="1" t="str">
        <f t="shared" si="18"/>
        <v>11/14/2023</v>
      </c>
      <c r="G115" s="1" t="str">
        <f>CLEAN("RSRF10")</f>
        <v>RSRF10</v>
      </c>
      <c r="H115" s="1" t="str">
        <f>CLEAN("OUTAGAMIE")</f>
        <v>OUTAGAMIE</v>
      </c>
      <c r="I115" s="1" t="str">
        <f t="shared" si="17"/>
        <v>STH</v>
      </c>
      <c r="J115" s="1" t="str">
        <f>CLEAN("047")</f>
        <v>047</v>
      </c>
      <c r="K115" s="1" t="str">
        <f>CLEAN("S MAIN STREET  V OF BLACK CREEK")</f>
        <v>S MAIN STREET  V OF BLACK CREEK</v>
      </c>
      <c r="L115" s="1" t="str">
        <f>CLEAN("CTH B-BURDICK STREET")</f>
        <v>CTH B-BURDICK STREET</v>
      </c>
      <c r="M115" s="1" t="str">
        <f>CLEAN("CONST/RESURFACE")</f>
        <v>CONST/RESURFACE</v>
      </c>
      <c r="N115" s="1">
        <v>0.48</v>
      </c>
    </row>
    <row r="116" spans="1:14" x14ac:dyDescent="0.2">
      <c r="A116" s="1" t="str">
        <f>CLEAN("9160-19-71")</f>
        <v>9160-19-71</v>
      </c>
      <c r="B116" s="1" t="str">
        <f t="shared" si="19"/>
        <v>303</v>
      </c>
      <c r="C116" s="1" t="str">
        <f t="shared" si="16"/>
        <v>LET</v>
      </c>
      <c r="D116" s="2">
        <v>44682</v>
      </c>
      <c r="E116" s="1">
        <v>2024</v>
      </c>
      <c r="F116" s="1" t="str">
        <f t="shared" si="18"/>
        <v>11/14/2023</v>
      </c>
      <c r="G116" s="1" t="str">
        <f>CLEAN("RSRF10")</f>
        <v>RSRF10</v>
      </c>
      <c r="H116" s="1" t="str">
        <f>CLEAN("MARINETTE")</f>
        <v>MARINETTE</v>
      </c>
      <c r="I116" s="1" t="str">
        <f t="shared" si="17"/>
        <v>STH</v>
      </c>
      <c r="J116" s="1" t="str">
        <f>CLEAN("064")</f>
        <v>064</v>
      </c>
      <c r="K116" s="1" t="str">
        <f>CLEAN("POUND-MARINETTE")</f>
        <v>POUND-MARINETTE</v>
      </c>
      <c r="L116" s="1" t="str">
        <f>CLEAN("CTH E-STH 180")</f>
        <v>CTH E-STH 180</v>
      </c>
      <c r="M116" s="1" t="str">
        <f>CLEAN("CONST/RESURF EXIST ASPHALTIC PAVE")</f>
        <v>CONST/RESURF EXIST ASPHALTIC PAVE</v>
      </c>
      <c r="N116" s="1">
        <v>7.04</v>
      </c>
    </row>
    <row r="117" spans="1:14" x14ac:dyDescent="0.2">
      <c r="A117" s="1" t="str">
        <f>CLEAN("4085-67-71")</f>
        <v>4085-67-71</v>
      </c>
      <c r="B117" s="1" t="str">
        <f t="shared" si="19"/>
        <v>303</v>
      </c>
      <c r="C117" s="1" t="str">
        <f t="shared" si="16"/>
        <v>LET</v>
      </c>
      <c r="D117" s="2">
        <v>45139</v>
      </c>
      <c r="E117" s="1">
        <v>2024</v>
      </c>
      <c r="F117" s="1" t="str">
        <f t="shared" si="18"/>
        <v>11/14/2023</v>
      </c>
      <c r="G117" s="1" t="str">
        <f>CLEAN("RSRF20")</f>
        <v>RSRF20</v>
      </c>
      <c r="H117" s="1" t="str">
        <f>CLEAN("CALUMET")</f>
        <v>CALUMET</v>
      </c>
      <c r="I117" s="1" t="str">
        <f t="shared" si="17"/>
        <v>STH</v>
      </c>
      <c r="J117" s="1" t="str">
        <f>CLEAN("032")</f>
        <v>032</v>
      </c>
      <c r="K117" s="1" t="str">
        <f>CLEAN("NEW HOLSTEIN-CHILTON")</f>
        <v>NEW HOLSTEIN-CHILTON</v>
      </c>
      <c r="L117" s="1" t="str">
        <f>CLEAN("ALTONA AVENUE-USH 151")</f>
        <v>ALTONA AVENUE-USH 151</v>
      </c>
      <c r="M117" s="1" t="str">
        <f>CLEAN("CONST/RESURF")</f>
        <v>CONST/RESURF</v>
      </c>
      <c r="N117" s="1">
        <v>5.2809999999999997</v>
      </c>
    </row>
    <row r="118" spans="1:14" x14ac:dyDescent="0.2">
      <c r="A118" s="1" t="str">
        <f>CLEAN("1210-17-71")</f>
        <v>1210-17-71</v>
      </c>
      <c r="B118" s="1" t="str">
        <f t="shared" si="19"/>
        <v>303</v>
      </c>
      <c r="C118" s="1" t="str">
        <f t="shared" si="16"/>
        <v>LET</v>
      </c>
      <c r="D118" s="2">
        <v>45139</v>
      </c>
      <c r="E118" s="1">
        <v>2024</v>
      </c>
      <c r="F118" s="1" t="str">
        <f t="shared" si="18"/>
        <v>11/14/2023</v>
      </c>
      <c r="G118" s="1" t="str">
        <f>CLEAN("RSRF30")</f>
        <v>RSRF30</v>
      </c>
      <c r="H118" s="1" t="str">
        <f>CLEAN("BROWN")</f>
        <v>BROWN</v>
      </c>
      <c r="I118" s="1" t="str">
        <f t="shared" si="17"/>
        <v>STH</v>
      </c>
      <c r="J118" s="1" t="str">
        <f>CLEAN("172")</f>
        <v>172</v>
      </c>
      <c r="K118" s="1" t="str">
        <f>CLEAN("ONEIDA - GREEN BAY")</f>
        <v>ONEIDA - GREEN BAY</v>
      </c>
      <c r="L118" s="1" t="str">
        <f>CLEAN("STH 54 - AIRPORT ENTRANCE")</f>
        <v>STH 54 - AIRPORT ENTRANCE</v>
      </c>
      <c r="M118" s="1" t="str">
        <f>CLEAN("CONST")</f>
        <v>CONST</v>
      </c>
      <c r="N118" s="1">
        <v>2.64</v>
      </c>
    </row>
    <row r="119" spans="1:14" x14ac:dyDescent="0.2">
      <c r="A119" s="1" t="str">
        <f>CLEAN("6230-20-71")</f>
        <v>6230-20-71</v>
      </c>
      <c r="B119" s="1" t="str">
        <f t="shared" si="19"/>
        <v>303</v>
      </c>
      <c r="C119" s="1" t="str">
        <f t="shared" si="16"/>
        <v>LET</v>
      </c>
      <c r="D119" s="2">
        <v>45139</v>
      </c>
      <c r="E119" s="1">
        <v>2024</v>
      </c>
      <c r="F119" s="1" t="str">
        <f t="shared" si="18"/>
        <v>11/14/2023</v>
      </c>
      <c r="G119" s="1" t="str">
        <f>CLEAN("RSRF30")</f>
        <v>RSRF30</v>
      </c>
      <c r="H119" s="1" t="str">
        <f>CLEAN("OUTAGAMIE")</f>
        <v>OUTAGAMIE</v>
      </c>
      <c r="I119" s="1" t="str">
        <f t="shared" si="17"/>
        <v>STH</v>
      </c>
      <c r="J119" s="1" t="str">
        <f>CLEAN("054")</f>
        <v>054</v>
      </c>
      <c r="K119" s="1" t="str">
        <f>CLEAN("SEYMOUR-GREEN BAY")</f>
        <v>SEYMOUR-GREEN BAY</v>
      </c>
      <c r="L119" s="1" t="str">
        <f>CLEAN("FRENCH ROAD-SEMINARY ROAD")</f>
        <v>FRENCH ROAD-SEMINARY ROAD</v>
      </c>
      <c r="M119" s="1" t="str">
        <f>CLEAN("CONST/RESURF")</f>
        <v>CONST/RESURF</v>
      </c>
      <c r="N119" s="1">
        <v>7.5990000000000002</v>
      </c>
    </row>
    <row r="120" spans="1:14" x14ac:dyDescent="0.2">
      <c r="A120" s="1" t="str">
        <f>CLEAN("6240-22-71")</f>
        <v>6240-22-71</v>
      </c>
      <c r="B120" s="1" t="str">
        <f t="shared" si="19"/>
        <v>303</v>
      </c>
      <c r="C120" s="1" t="str">
        <f t="shared" si="16"/>
        <v>LET</v>
      </c>
      <c r="D120" s="2">
        <v>44317</v>
      </c>
      <c r="E120" s="1">
        <v>2024</v>
      </c>
      <c r="F120" s="1" t="str">
        <f t="shared" si="18"/>
        <v>11/14/2023</v>
      </c>
      <c r="G120" s="1" t="str">
        <f>CLEAN("RSRF30")</f>
        <v>RSRF30</v>
      </c>
      <c r="H120" s="1" t="str">
        <f>CLEAN("OUTAGAMIE")</f>
        <v>OUTAGAMIE</v>
      </c>
      <c r="I120" s="1" t="str">
        <f t="shared" si="17"/>
        <v>STH</v>
      </c>
      <c r="J120" s="1" t="str">
        <f>CLEAN("047")</f>
        <v>047</v>
      </c>
      <c r="K120" s="1" t="str">
        <f>CLEAN("APPLETON - BLACK CREEK")</f>
        <v>APPLETON - BLACK CREEK</v>
      </c>
      <c r="L120" s="1" t="str">
        <f>CLEAN("CTH JJ - CTH B")</f>
        <v>CTH JJ - CTH B</v>
      </c>
      <c r="M120" s="1" t="str">
        <f>CLEAN("CONST/RESURFACE LEVE IMPROVE")</f>
        <v>CONST/RESURFACE LEVE IMPROVE</v>
      </c>
      <c r="N120" s="1">
        <v>11.15</v>
      </c>
    </row>
    <row r="121" spans="1:14" x14ac:dyDescent="0.2">
      <c r="A121" s="1" t="str">
        <f>CLEAN("6518-06-71")</f>
        <v>6518-06-71</v>
      </c>
      <c r="B121" s="1" t="str">
        <f t="shared" si="19"/>
        <v>303</v>
      </c>
      <c r="C121" s="1" t="str">
        <f t="shared" si="16"/>
        <v>LET</v>
      </c>
      <c r="D121" s="2">
        <v>44866</v>
      </c>
      <c r="E121" s="1">
        <v>2024</v>
      </c>
      <c r="F121" s="1" t="str">
        <f t="shared" si="18"/>
        <v>11/14/2023</v>
      </c>
      <c r="G121" s="1" t="str">
        <f>CLEAN("RSRF30")</f>
        <v>RSRF30</v>
      </c>
      <c r="H121" s="1" t="str">
        <f>CLEAN("OUTAGAMIE")</f>
        <v>OUTAGAMIE</v>
      </c>
      <c r="I121" s="1" t="str">
        <f t="shared" si="17"/>
        <v>STH</v>
      </c>
      <c r="J121" s="1" t="str">
        <f>CLEAN("076")</f>
        <v>076</v>
      </c>
      <c r="K121" s="1" t="str">
        <f>CLEAN("SHIOCTON - BEAR CREEK")</f>
        <v>SHIOCTON - BEAR CREEK</v>
      </c>
      <c r="L121" s="1" t="str">
        <f>CLEAN("STH 54 - NCL")</f>
        <v>STH 54 - NCL</v>
      </c>
      <c r="M121" s="1" t="str">
        <f>CLEAN("CONST/SURFACE")</f>
        <v>CONST/SURFACE</v>
      </c>
      <c r="N121" s="1">
        <v>12.148</v>
      </c>
    </row>
    <row r="122" spans="1:14" x14ac:dyDescent="0.2">
      <c r="A122" s="1" t="str">
        <f>CLEAN("1470-30-71")</f>
        <v>1470-30-71</v>
      </c>
      <c r="B122" s="1" t="str">
        <f t="shared" si="19"/>
        <v>303</v>
      </c>
      <c r="C122" s="1" t="str">
        <f t="shared" si="16"/>
        <v>LET</v>
      </c>
      <c r="D122" s="2">
        <v>44866</v>
      </c>
      <c r="E122" s="1">
        <v>2024</v>
      </c>
      <c r="F122" s="1" t="str">
        <f>CLEAN("12/12/2023")</f>
        <v>12/12/2023</v>
      </c>
      <c r="G122" s="1" t="str">
        <f>CLEAN("RSRF30")</f>
        <v>RSRF30</v>
      </c>
      <c r="H122" s="1" t="str">
        <f>CLEAN("MANITOWOC")</f>
        <v>MANITOWOC</v>
      </c>
      <c r="I122" s="1" t="str">
        <f t="shared" si="17"/>
        <v>STH</v>
      </c>
      <c r="J122" s="1" t="str">
        <f>CLEAN("042")</f>
        <v>042</v>
      </c>
      <c r="K122" s="1" t="str">
        <f>CLEAN("TWO RIVERS-KEWAUNEE")</f>
        <v>TWO RIVERS-KEWAUNEE</v>
      </c>
      <c r="L122" s="1" t="str">
        <f>CLEAN("34TH STREET-NCL")</f>
        <v>34TH STREET-NCL</v>
      </c>
      <c r="M122" s="1" t="str">
        <f>CLEAN("CONST/RESURF")</f>
        <v>CONST/RESURF</v>
      </c>
      <c r="N122" s="1">
        <v>11.57</v>
      </c>
    </row>
    <row r="123" spans="1:14" x14ac:dyDescent="0.2">
      <c r="A123" s="1" t="str">
        <f>CLEAN("4110-28-72")</f>
        <v>4110-28-72</v>
      </c>
      <c r="B123" s="1" t="str">
        <f t="shared" si="19"/>
        <v>303</v>
      </c>
      <c r="C123" s="1" t="str">
        <f t="shared" si="16"/>
        <v>LET</v>
      </c>
      <c r="D123" s="2">
        <v>45231</v>
      </c>
      <c r="E123" s="1">
        <v>2024</v>
      </c>
      <c r="F123" s="1" t="str">
        <f>CLEAN("04/09/2024")</f>
        <v>04/09/2024</v>
      </c>
      <c r="G123" s="1" t="str">
        <f>CLEAN("MISC")</f>
        <v>MISC</v>
      </c>
      <c r="H123" s="1" t="str">
        <f>CLEAN("FOND DU LAC")</f>
        <v>FOND DU LAC</v>
      </c>
      <c r="I123" s="1" t="str">
        <f>CLEAN("USH")</f>
        <v>USH</v>
      </c>
      <c r="J123" s="1" t="str">
        <f>CLEAN("045")</f>
        <v>045</v>
      </c>
      <c r="K123" s="1" t="str">
        <f>CLEAN("FOND DU LAC-OSHKOSH")</f>
        <v>FOND DU LAC-OSHKOSH</v>
      </c>
      <c r="L123" s="1" t="str">
        <f>CLEAN("SCOTT STREET-NCL")</f>
        <v>SCOTT STREET-NCL</v>
      </c>
      <c r="M123" s="1" t="str">
        <f>CLEAN("DRAINAGE CORRECTION")</f>
        <v>DRAINAGE CORRECTION</v>
      </c>
      <c r="N123" s="1">
        <v>7.35</v>
      </c>
    </row>
    <row r="124" spans="1:14" x14ac:dyDescent="0.2">
      <c r="A124" s="1" t="str">
        <f>CLEAN("4110-28-71")</f>
        <v>4110-28-71</v>
      </c>
      <c r="B124" s="1" t="str">
        <f t="shared" si="19"/>
        <v>303</v>
      </c>
      <c r="C124" s="1" t="str">
        <f t="shared" si="16"/>
        <v>LET</v>
      </c>
      <c r="D124" s="2">
        <v>45231</v>
      </c>
      <c r="E124" s="1">
        <v>2024</v>
      </c>
      <c r="F124" s="1" t="str">
        <f>CLEAN("04/09/2024")</f>
        <v>04/09/2024</v>
      </c>
      <c r="G124" s="1" t="str">
        <f>CLEAN("RSRF20")</f>
        <v>RSRF20</v>
      </c>
      <c r="H124" s="1" t="str">
        <f>CLEAN("FOND DU LAC")</f>
        <v>FOND DU LAC</v>
      </c>
      <c r="I124" s="1" t="str">
        <f>CLEAN("USH")</f>
        <v>USH</v>
      </c>
      <c r="J124" s="1" t="str">
        <f>CLEAN("045")</f>
        <v>045</v>
      </c>
      <c r="K124" s="1" t="str">
        <f>CLEAN("FOND DU LAC-OSHKOSH")</f>
        <v>FOND DU LAC-OSHKOSH</v>
      </c>
      <c r="L124" s="1" t="str">
        <f>CLEAN("SCOTT STREET-NCL")</f>
        <v>SCOTT STREET-NCL</v>
      </c>
      <c r="M124" s="1" t="str">
        <f>CLEAN("MILLING  OVERLAY  STR  REPLACEMENT")</f>
        <v>MILLING  OVERLAY  STR  REPLACEMENT</v>
      </c>
      <c r="N124" s="1">
        <v>7.42</v>
      </c>
    </row>
  </sheetData>
  <sortState ref="A2:AV126">
    <sortCondition ref="F2:F126"/>
    <sortCondition ref="G2:G126"/>
    <sortCondition ref="A2:A126"/>
  </sortState>
  <pageMargins left="0.7" right="0.7" top="0.75" bottom="0.75" header="0.3" footer="0.3"/>
  <pageSetup scale="75" orientation="landscape" r:id="rId1"/>
  <headerFooter>
    <oddHeader>&amp;C&amp;14DTSD Northeast Region
6 Year State Program&amp;11
&amp;R&amp;9Data - 01/2024/2020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310D9B-4AC9-438B-9EF0-C8F84745A268}"/>
</file>

<file path=customXml/itemProps2.xml><?xml version="1.0" encoding="utf-8"?>
<ds:datastoreItem xmlns:ds="http://schemas.openxmlformats.org/officeDocument/2006/customXml" ds:itemID="{D941863A-18F9-4FCC-A435-FAB44C6EF0C4}"/>
</file>

<file path=customXml/itemProps3.xml><?xml version="1.0" encoding="utf-8"?>
<ds:datastoreItem xmlns:ds="http://schemas.openxmlformats.org/officeDocument/2006/customXml" ds:itemID="{0CA6CDB8-3DFE-408B-804A-E2524DABF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Manager>WisDOT Utility Unit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 Region - State 6 Year Program List</dc:title>
  <dc:creator>WisDOT</dc:creator>
  <cp:lastModifiedBy>BRUNS, CONNIE J</cp:lastModifiedBy>
  <cp:lastPrinted>2020-01-24T16:28:37Z</cp:lastPrinted>
  <dcterms:created xsi:type="dcterms:W3CDTF">2020-01-24T16:26:53Z</dcterms:created>
  <dcterms:modified xsi:type="dcterms:W3CDTF">2020-01-28T19:54:35Z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